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772" activeTab="3"/>
  </bookViews>
  <sheets>
    <sheet name="Тепловаяя нагрузка 2018" sheetId="1" r:id="rId1"/>
    <sheet name="Тепловая нагрузка 2019" sheetId="2" r:id="rId2"/>
    <sheet name="Тепловая нагрузка 2020" sheetId="3" r:id="rId3"/>
    <sheet name="Тепловая нагрузка 2021" sheetId="5" r:id="rId4"/>
    <sheet name="Тепловая нагрузка 2022" sheetId="6" r:id="rId5"/>
  </sheets>
  <calcPr calcId="144525"/>
</workbook>
</file>

<file path=xl/calcChain.xml><?xml version="1.0" encoding="utf-8"?>
<calcChain xmlns="http://schemas.openxmlformats.org/spreadsheetml/2006/main">
  <c r="K25" i="6" l="1"/>
  <c r="G25" i="6"/>
  <c r="F25" i="6"/>
  <c r="E25" i="6"/>
  <c r="D25" i="6"/>
  <c r="C25" i="6"/>
  <c r="P24" i="6"/>
  <c r="J24" i="6"/>
  <c r="I24" i="6"/>
  <c r="H24" i="6"/>
  <c r="L24" i="6" s="1"/>
  <c r="M23" i="6"/>
  <c r="P23" i="6" s="1"/>
  <c r="J23" i="6"/>
  <c r="I23" i="6"/>
  <c r="H23" i="6"/>
  <c r="L23" i="6" s="1"/>
  <c r="M22" i="6"/>
  <c r="P22" i="6" s="1"/>
  <c r="J22" i="6"/>
  <c r="I22" i="6"/>
  <c r="H22" i="6"/>
  <c r="L22" i="6" s="1"/>
  <c r="N22" i="6" s="1"/>
  <c r="O22" i="6" s="1"/>
  <c r="P21" i="6"/>
  <c r="M21" i="6"/>
  <c r="J21" i="6"/>
  <c r="I21" i="6"/>
  <c r="L21" i="6" s="1"/>
  <c r="H21" i="6"/>
  <c r="M20" i="6"/>
  <c r="P20" i="6" s="1"/>
  <c r="J20" i="6"/>
  <c r="I20" i="6"/>
  <c r="H20" i="6"/>
  <c r="L20" i="6" s="1"/>
  <c r="P19" i="6"/>
  <c r="M19" i="6"/>
  <c r="J19" i="6"/>
  <c r="I19" i="6"/>
  <c r="L19" i="6" s="1"/>
  <c r="H19" i="6"/>
  <c r="M18" i="6"/>
  <c r="P18" i="6" s="1"/>
  <c r="J18" i="6"/>
  <c r="I18" i="6"/>
  <c r="H18" i="6"/>
  <c r="L18" i="6" s="1"/>
  <c r="P17" i="6"/>
  <c r="M17" i="6"/>
  <c r="J17" i="6"/>
  <c r="I17" i="6"/>
  <c r="L17" i="6" s="1"/>
  <c r="H17" i="6"/>
  <c r="M16" i="6"/>
  <c r="P16" i="6" s="1"/>
  <c r="J16" i="6"/>
  <c r="I16" i="6"/>
  <c r="L16" i="6" s="1"/>
  <c r="H16" i="6"/>
  <c r="M15" i="6"/>
  <c r="P15" i="6" s="1"/>
  <c r="J15" i="6"/>
  <c r="I15" i="6"/>
  <c r="L15" i="6" s="1"/>
  <c r="H15" i="6"/>
  <c r="M14" i="6"/>
  <c r="P14" i="6" s="1"/>
  <c r="J14" i="6"/>
  <c r="I14" i="6"/>
  <c r="H14" i="6"/>
  <c r="L14" i="6" s="1"/>
  <c r="Q13" i="6"/>
  <c r="M13" i="6"/>
  <c r="P13" i="6" s="1"/>
  <c r="J13" i="6"/>
  <c r="I13" i="6"/>
  <c r="L13" i="6" s="1"/>
  <c r="H13" i="6"/>
  <c r="M12" i="6"/>
  <c r="P12" i="6" s="1"/>
  <c r="J12" i="6"/>
  <c r="I12" i="6"/>
  <c r="L12" i="6" s="1"/>
  <c r="H12" i="6"/>
  <c r="M11" i="6"/>
  <c r="P11" i="6" s="1"/>
  <c r="J11" i="6"/>
  <c r="I11" i="6"/>
  <c r="H11" i="6"/>
  <c r="L11" i="6" s="1"/>
  <c r="P10" i="6"/>
  <c r="M10" i="6"/>
  <c r="J10" i="6"/>
  <c r="I10" i="6"/>
  <c r="L10" i="6" s="1"/>
  <c r="H10" i="6"/>
  <c r="P9" i="6"/>
  <c r="J9" i="6"/>
  <c r="I9" i="6"/>
  <c r="H9" i="6"/>
  <c r="L9" i="6" s="1"/>
  <c r="M8" i="6"/>
  <c r="P8" i="6" s="1"/>
  <c r="J8" i="6"/>
  <c r="I8" i="6"/>
  <c r="H8" i="6"/>
  <c r="L8" i="6" s="1"/>
  <c r="P7" i="6"/>
  <c r="M7" i="6"/>
  <c r="J7" i="6"/>
  <c r="I7" i="6"/>
  <c r="L7" i="6" s="1"/>
  <c r="H7" i="6"/>
  <c r="M6" i="6"/>
  <c r="P6" i="6" s="1"/>
  <c r="J6" i="6"/>
  <c r="I6" i="6"/>
  <c r="H6" i="6"/>
  <c r="L6" i="6" s="1"/>
  <c r="P5" i="6"/>
  <c r="M5" i="6"/>
  <c r="J5" i="6"/>
  <c r="I5" i="6"/>
  <c r="L5" i="6" s="1"/>
  <c r="H5" i="6"/>
  <c r="Q4" i="6"/>
  <c r="Q25" i="6" s="1"/>
  <c r="P4" i="6"/>
  <c r="P25" i="6" s="1"/>
  <c r="M4" i="6"/>
  <c r="M25" i="6" s="1"/>
  <c r="J4" i="6"/>
  <c r="J25" i="6" s="1"/>
  <c r="I4" i="6"/>
  <c r="I25" i="6" s="1"/>
  <c r="H4" i="6"/>
  <c r="H25" i="6" s="1"/>
  <c r="K25" i="5"/>
  <c r="G25" i="5"/>
  <c r="F25" i="5"/>
  <c r="E25" i="5"/>
  <c r="D25" i="5"/>
  <c r="C25" i="5"/>
  <c r="P24" i="5"/>
  <c r="J24" i="5"/>
  <c r="I24" i="5"/>
  <c r="L24" i="5" s="1"/>
  <c r="H24" i="5"/>
  <c r="M23" i="5"/>
  <c r="P23" i="5" s="1"/>
  <c r="J23" i="5"/>
  <c r="I23" i="5"/>
  <c r="L23" i="5" s="1"/>
  <c r="H23" i="5"/>
  <c r="P22" i="5"/>
  <c r="M22" i="5"/>
  <c r="J22" i="5"/>
  <c r="I22" i="5"/>
  <c r="L22" i="5" s="1"/>
  <c r="N22" i="5" s="1"/>
  <c r="O22" i="5" s="1"/>
  <c r="H22" i="5"/>
  <c r="M21" i="5"/>
  <c r="P21" i="5" s="1"/>
  <c r="J21" i="5"/>
  <c r="I21" i="5"/>
  <c r="H21" i="5"/>
  <c r="L21" i="5" s="1"/>
  <c r="P20" i="5"/>
  <c r="M20" i="5"/>
  <c r="J20" i="5"/>
  <c r="I20" i="5"/>
  <c r="L20" i="5" s="1"/>
  <c r="H20" i="5"/>
  <c r="M19" i="5"/>
  <c r="P19" i="5" s="1"/>
  <c r="J19" i="5"/>
  <c r="I19" i="5"/>
  <c r="H19" i="5"/>
  <c r="L19" i="5" s="1"/>
  <c r="P18" i="5"/>
  <c r="M18" i="5"/>
  <c r="J18" i="5"/>
  <c r="I18" i="5"/>
  <c r="L18" i="5" s="1"/>
  <c r="H18" i="5"/>
  <c r="M17" i="5"/>
  <c r="P17" i="5" s="1"/>
  <c r="J17" i="5"/>
  <c r="I17" i="5"/>
  <c r="H17" i="5"/>
  <c r="L17" i="5" s="1"/>
  <c r="M16" i="5"/>
  <c r="P16" i="5" s="1"/>
  <c r="J16" i="5"/>
  <c r="I16" i="5"/>
  <c r="H16" i="5"/>
  <c r="L16" i="5" s="1"/>
  <c r="M15" i="5"/>
  <c r="P15" i="5" s="1"/>
  <c r="J15" i="5"/>
  <c r="I15" i="5"/>
  <c r="H15" i="5"/>
  <c r="L15" i="5" s="1"/>
  <c r="P14" i="5"/>
  <c r="M14" i="5"/>
  <c r="J14" i="5"/>
  <c r="I14" i="5"/>
  <c r="L14" i="5" s="1"/>
  <c r="H14" i="5"/>
  <c r="Q13" i="5"/>
  <c r="P13" i="5"/>
  <c r="M13" i="5"/>
  <c r="J13" i="5"/>
  <c r="I13" i="5"/>
  <c r="H13" i="5"/>
  <c r="L13" i="5" s="1"/>
  <c r="M12" i="5"/>
  <c r="P12" i="5" s="1"/>
  <c r="J12" i="5"/>
  <c r="I12" i="5"/>
  <c r="H12" i="5"/>
  <c r="L12" i="5" s="1"/>
  <c r="P11" i="5"/>
  <c r="M11" i="5"/>
  <c r="J11" i="5"/>
  <c r="I11" i="5"/>
  <c r="L11" i="5" s="1"/>
  <c r="H11" i="5"/>
  <c r="M10" i="5"/>
  <c r="P10" i="5" s="1"/>
  <c r="J10" i="5"/>
  <c r="I10" i="5"/>
  <c r="H10" i="5"/>
  <c r="L10" i="5" s="1"/>
  <c r="N10" i="5" s="1"/>
  <c r="O10" i="5" s="1"/>
  <c r="P9" i="5"/>
  <c r="J9" i="5"/>
  <c r="I9" i="5"/>
  <c r="H9" i="5"/>
  <c r="L9" i="5" s="1"/>
  <c r="R9" i="5" s="1"/>
  <c r="P8" i="5"/>
  <c r="M8" i="5"/>
  <c r="J8" i="5"/>
  <c r="I8" i="5"/>
  <c r="L8" i="5" s="1"/>
  <c r="H8" i="5"/>
  <c r="M7" i="5"/>
  <c r="P7" i="5" s="1"/>
  <c r="J7" i="5"/>
  <c r="I7" i="5"/>
  <c r="H7" i="5"/>
  <c r="L7" i="5" s="1"/>
  <c r="N7" i="5" s="1"/>
  <c r="O7" i="5" s="1"/>
  <c r="P6" i="5"/>
  <c r="M6" i="5"/>
  <c r="J6" i="5"/>
  <c r="I6" i="5"/>
  <c r="L6" i="5" s="1"/>
  <c r="H6" i="5"/>
  <c r="M5" i="5"/>
  <c r="P5" i="5" s="1"/>
  <c r="J5" i="5"/>
  <c r="I5" i="5"/>
  <c r="H5" i="5"/>
  <c r="L5" i="5" s="1"/>
  <c r="N5" i="5" s="1"/>
  <c r="O5" i="5" s="1"/>
  <c r="Q4" i="5"/>
  <c r="M4" i="5"/>
  <c r="J4" i="5"/>
  <c r="J25" i="5" s="1"/>
  <c r="I4" i="5"/>
  <c r="I25" i="5" s="1"/>
  <c r="H4" i="5"/>
  <c r="K25" i="3"/>
  <c r="G25" i="3"/>
  <c r="F25" i="3"/>
  <c r="E25" i="3"/>
  <c r="D25" i="3"/>
  <c r="C25" i="3"/>
  <c r="P24" i="3"/>
  <c r="J24" i="3"/>
  <c r="I24" i="3"/>
  <c r="H24" i="3"/>
  <c r="L24" i="3" s="1"/>
  <c r="M23" i="3"/>
  <c r="P23" i="3" s="1"/>
  <c r="J23" i="3"/>
  <c r="I23" i="3"/>
  <c r="H23" i="3"/>
  <c r="L23" i="3" s="1"/>
  <c r="M22" i="3"/>
  <c r="P22" i="3" s="1"/>
  <c r="J22" i="3"/>
  <c r="I22" i="3"/>
  <c r="H22" i="3"/>
  <c r="L22" i="3" s="1"/>
  <c r="N22" i="3" s="1"/>
  <c r="O22" i="3" s="1"/>
  <c r="P21" i="3"/>
  <c r="M21" i="3"/>
  <c r="J21" i="3"/>
  <c r="I21" i="3"/>
  <c r="L21" i="3" s="1"/>
  <c r="H21" i="3"/>
  <c r="M20" i="3"/>
  <c r="P20" i="3" s="1"/>
  <c r="J20" i="3"/>
  <c r="I20" i="3"/>
  <c r="H20" i="3"/>
  <c r="L20" i="3" s="1"/>
  <c r="P19" i="3"/>
  <c r="M19" i="3"/>
  <c r="J19" i="3"/>
  <c r="I19" i="3"/>
  <c r="L19" i="3" s="1"/>
  <c r="H19" i="3"/>
  <c r="M18" i="3"/>
  <c r="P18" i="3" s="1"/>
  <c r="J18" i="3"/>
  <c r="I18" i="3"/>
  <c r="H18" i="3"/>
  <c r="L18" i="3" s="1"/>
  <c r="P17" i="3"/>
  <c r="M17" i="3"/>
  <c r="J17" i="3"/>
  <c r="I17" i="3"/>
  <c r="L17" i="3" s="1"/>
  <c r="H17" i="3"/>
  <c r="M16" i="3"/>
  <c r="P16" i="3" s="1"/>
  <c r="J16" i="3"/>
  <c r="I16" i="3"/>
  <c r="L16" i="3" s="1"/>
  <c r="H16" i="3"/>
  <c r="M15" i="3"/>
  <c r="P15" i="3" s="1"/>
  <c r="J15" i="3"/>
  <c r="I15" i="3"/>
  <c r="L15" i="3" s="1"/>
  <c r="H15" i="3"/>
  <c r="M14" i="3"/>
  <c r="P14" i="3" s="1"/>
  <c r="J14" i="3"/>
  <c r="I14" i="3"/>
  <c r="H14" i="3"/>
  <c r="L14" i="3" s="1"/>
  <c r="Q13" i="3"/>
  <c r="Q25" i="3" s="1"/>
  <c r="M13" i="3"/>
  <c r="P13" i="3" s="1"/>
  <c r="J13" i="3"/>
  <c r="I13" i="3"/>
  <c r="L13" i="3" s="1"/>
  <c r="H13" i="3"/>
  <c r="M12" i="3"/>
  <c r="P12" i="3" s="1"/>
  <c r="J12" i="3"/>
  <c r="I12" i="3"/>
  <c r="L12" i="3" s="1"/>
  <c r="H12" i="3"/>
  <c r="M11" i="3"/>
  <c r="P11" i="3" s="1"/>
  <c r="J11" i="3"/>
  <c r="I11" i="3"/>
  <c r="H11" i="3"/>
  <c r="L11" i="3" s="1"/>
  <c r="P10" i="3"/>
  <c r="M10" i="3"/>
  <c r="J10" i="3"/>
  <c r="I10" i="3"/>
  <c r="L10" i="3" s="1"/>
  <c r="H10" i="3"/>
  <c r="P9" i="3"/>
  <c r="J9" i="3"/>
  <c r="I9" i="3"/>
  <c r="L9" i="3" s="1"/>
  <c r="H9" i="3"/>
  <c r="M8" i="3"/>
  <c r="P8" i="3" s="1"/>
  <c r="J8" i="3"/>
  <c r="I8" i="3"/>
  <c r="H8" i="3"/>
  <c r="L8" i="3" s="1"/>
  <c r="P7" i="3"/>
  <c r="M7" i="3"/>
  <c r="J7" i="3"/>
  <c r="I7" i="3"/>
  <c r="L7" i="3" s="1"/>
  <c r="H7" i="3"/>
  <c r="M6" i="3"/>
  <c r="M25" i="3" s="1"/>
  <c r="J6" i="3"/>
  <c r="I6" i="3"/>
  <c r="H6" i="3"/>
  <c r="L6" i="3" s="1"/>
  <c r="P5" i="3"/>
  <c r="M5" i="3"/>
  <c r="J5" i="3"/>
  <c r="I5" i="3"/>
  <c r="L5" i="3" s="1"/>
  <c r="H5" i="3"/>
  <c r="Q4" i="3"/>
  <c r="P4" i="3"/>
  <c r="M4" i="3"/>
  <c r="J4" i="3"/>
  <c r="J25" i="3" s="1"/>
  <c r="I4" i="3"/>
  <c r="I25" i="3" s="1"/>
  <c r="H4" i="3"/>
  <c r="H25" i="3" s="1"/>
  <c r="K25" i="2"/>
  <c r="G25" i="2"/>
  <c r="F25" i="2"/>
  <c r="E25" i="2"/>
  <c r="D25" i="2"/>
  <c r="C25" i="2"/>
  <c r="P24" i="2"/>
  <c r="J24" i="2"/>
  <c r="I24" i="2"/>
  <c r="H24" i="2"/>
  <c r="L24" i="2" s="1"/>
  <c r="M23" i="2"/>
  <c r="P23" i="2" s="1"/>
  <c r="J23" i="2"/>
  <c r="I23" i="2"/>
  <c r="H23" i="2"/>
  <c r="L23" i="2" s="1"/>
  <c r="M22" i="2"/>
  <c r="P22" i="2" s="1"/>
  <c r="J22" i="2"/>
  <c r="I22" i="2"/>
  <c r="H22" i="2"/>
  <c r="L22" i="2" s="1"/>
  <c r="N22" i="2" s="1"/>
  <c r="O22" i="2" s="1"/>
  <c r="P21" i="2"/>
  <c r="M21" i="2"/>
  <c r="J21" i="2"/>
  <c r="I21" i="2"/>
  <c r="L21" i="2" s="1"/>
  <c r="H21" i="2"/>
  <c r="M20" i="2"/>
  <c r="P20" i="2" s="1"/>
  <c r="J20" i="2"/>
  <c r="I20" i="2"/>
  <c r="H20" i="2"/>
  <c r="L20" i="2" s="1"/>
  <c r="P19" i="2"/>
  <c r="M19" i="2"/>
  <c r="J19" i="2"/>
  <c r="I19" i="2"/>
  <c r="L19" i="2" s="1"/>
  <c r="H19" i="2"/>
  <c r="M18" i="2"/>
  <c r="P18" i="2" s="1"/>
  <c r="J18" i="2"/>
  <c r="I18" i="2"/>
  <c r="H18" i="2"/>
  <c r="L18" i="2" s="1"/>
  <c r="P17" i="2"/>
  <c r="M17" i="2"/>
  <c r="J17" i="2"/>
  <c r="I17" i="2"/>
  <c r="L17" i="2" s="1"/>
  <c r="H17" i="2"/>
  <c r="M16" i="2"/>
  <c r="P16" i="2" s="1"/>
  <c r="J16" i="2"/>
  <c r="I16" i="2"/>
  <c r="L16" i="2" s="1"/>
  <c r="H16" i="2"/>
  <c r="M15" i="2"/>
  <c r="P15" i="2" s="1"/>
  <c r="J15" i="2"/>
  <c r="I15" i="2"/>
  <c r="L15" i="2" s="1"/>
  <c r="H15" i="2"/>
  <c r="M14" i="2"/>
  <c r="P14" i="2" s="1"/>
  <c r="J14" i="2"/>
  <c r="I14" i="2"/>
  <c r="H14" i="2"/>
  <c r="L14" i="2" s="1"/>
  <c r="Q13" i="2"/>
  <c r="Q25" i="2" s="1"/>
  <c r="M13" i="2"/>
  <c r="P13" i="2" s="1"/>
  <c r="J13" i="2"/>
  <c r="I13" i="2"/>
  <c r="L13" i="2" s="1"/>
  <c r="H13" i="2"/>
  <c r="M12" i="2"/>
  <c r="P12" i="2" s="1"/>
  <c r="J12" i="2"/>
  <c r="I12" i="2"/>
  <c r="L12" i="2" s="1"/>
  <c r="H12" i="2"/>
  <c r="M11" i="2"/>
  <c r="P11" i="2" s="1"/>
  <c r="J11" i="2"/>
  <c r="I11" i="2"/>
  <c r="H11" i="2"/>
  <c r="L11" i="2" s="1"/>
  <c r="P10" i="2"/>
  <c r="M10" i="2"/>
  <c r="J10" i="2"/>
  <c r="I10" i="2"/>
  <c r="L10" i="2" s="1"/>
  <c r="H10" i="2"/>
  <c r="P9" i="2"/>
  <c r="J9" i="2"/>
  <c r="I9" i="2"/>
  <c r="L9" i="2" s="1"/>
  <c r="H9" i="2"/>
  <c r="M8" i="2"/>
  <c r="P8" i="2" s="1"/>
  <c r="J8" i="2"/>
  <c r="I8" i="2"/>
  <c r="H8" i="2"/>
  <c r="L8" i="2" s="1"/>
  <c r="P7" i="2"/>
  <c r="M7" i="2"/>
  <c r="J7" i="2"/>
  <c r="I7" i="2"/>
  <c r="L7" i="2" s="1"/>
  <c r="H7" i="2"/>
  <c r="M6" i="2"/>
  <c r="M25" i="2" s="1"/>
  <c r="J6" i="2"/>
  <c r="I6" i="2"/>
  <c r="H6" i="2"/>
  <c r="L6" i="2" s="1"/>
  <c r="P5" i="2"/>
  <c r="M5" i="2"/>
  <c r="J5" i="2"/>
  <c r="I5" i="2"/>
  <c r="L5" i="2" s="1"/>
  <c r="H5" i="2"/>
  <c r="Q4" i="2"/>
  <c r="P4" i="2"/>
  <c r="M4" i="2"/>
  <c r="J4" i="2"/>
  <c r="J25" i="2" s="1"/>
  <c r="I4" i="2"/>
  <c r="I25" i="2" s="1"/>
  <c r="H4" i="2"/>
  <c r="H25" i="2" s="1"/>
  <c r="K25" i="1"/>
  <c r="G25" i="1"/>
  <c r="F25" i="1"/>
  <c r="E25" i="1"/>
  <c r="D25" i="1"/>
  <c r="C25" i="1"/>
  <c r="P24" i="1"/>
  <c r="J24" i="1"/>
  <c r="I24" i="1"/>
  <c r="L24" i="1" s="1"/>
  <c r="H24" i="1"/>
  <c r="M23" i="1"/>
  <c r="P23" i="1" s="1"/>
  <c r="J23" i="1"/>
  <c r="I23" i="1"/>
  <c r="L23" i="1" s="1"/>
  <c r="H23" i="1"/>
  <c r="P22" i="1"/>
  <c r="M22" i="1"/>
  <c r="J22" i="1"/>
  <c r="I22" i="1"/>
  <c r="L22" i="1" s="1"/>
  <c r="N22" i="1" s="1"/>
  <c r="O22" i="1" s="1"/>
  <c r="H22" i="1"/>
  <c r="M21" i="1"/>
  <c r="P21" i="1" s="1"/>
  <c r="J21" i="1"/>
  <c r="I21" i="1"/>
  <c r="H21" i="1"/>
  <c r="L21" i="1" s="1"/>
  <c r="P20" i="1"/>
  <c r="M20" i="1"/>
  <c r="J20" i="1"/>
  <c r="I20" i="1"/>
  <c r="L20" i="1" s="1"/>
  <c r="H20" i="1"/>
  <c r="M19" i="1"/>
  <c r="P19" i="1" s="1"/>
  <c r="J19" i="1"/>
  <c r="I19" i="1"/>
  <c r="H19" i="1"/>
  <c r="L19" i="1" s="1"/>
  <c r="P18" i="1"/>
  <c r="M18" i="1"/>
  <c r="J18" i="1"/>
  <c r="I18" i="1"/>
  <c r="L18" i="1" s="1"/>
  <c r="H18" i="1"/>
  <c r="M17" i="1"/>
  <c r="P17" i="1" s="1"/>
  <c r="J17" i="1"/>
  <c r="I17" i="1"/>
  <c r="H17" i="1"/>
  <c r="L17" i="1" s="1"/>
  <c r="M16" i="1"/>
  <c r="P16" i="1" s="1"/>
  <c r="J16" i="1"/>
  <c r="I16" i="1"/>
  <c r="H16" i="1"/>
  <c r="L16" i="1" s="1"/>
  <c r="M15" i="1"/>
  <c r="P15" i="1" s="1"/>
  <c r="J15" i="1"/>
  <c r="I15" i="1"/>
  <c r="H15" i="1"/>
  <c r="L15" i="1" s="1"/>
  <c r="P14" i="1"/>
  <c r="M14" i="1"/>
  <c r="J14" i="1"/>
  <c r="I14" i="1"/>
  <c r="L14" i="1" s="1"/>
  <c r="H14" i="1"/>
  <c r="Q13" i="1"/>
  <c r="M13" i="1"/>
  <c r="P13" i="1" s="1"/>
  <c r="J13" i="1"/>
  <c r="I13" i="1"/>
  <c r="H13" i="1"/>
  <c r="L13" i="1" s="1"/>
  <c r="M12" i="1"/>
  <c r="P12" i="1" s="1"/>
  <c r="J12" i="1"/>
  <c r="I12" i="1"/>
  <c r="H12" i="1"/>
  <c r="L12" i="1" s="1"/>
  <c r="P11" i="1"/>
  <c r="M11" i="1"/>
  <c r="J11" i="1"/>
  <c r="I11" i="1"/>
  <c r="L11" i="1" s="1"/>
  <c r="H11" i="1"/>
  <c r="M10" i="1"/>
  <c r="P10" i="1" s="1"/>
  <c r="J10" i="1"/>
  <c r="I10" i="1"/>
  <c r="H10" i="1"/>
  <c r="L10" i="1" s="1"/>
  <c r="P9" i="1"/>
  <c r="J9" i="1"/>
  <c r="I9" i="1"/>
  <c r="H9" i="1"/>
  <c r="L9" i="1" s="1"/>
  <c r="P8" i="1"/>
  <c r="M8" i="1"/>
  <c r="J8" i="1"/>
  <c r="I8" i="1"/>
  <c r="L8" i="1" s="1"/>
  <c r="H8" i="1"/>
  <c r="M7" i="1"/>
  <c r="P7" i="1" s="1"/>
  <c r="J7" i="1"/>
  <c r="I7" i="1"/>
  <c r="H7" i="1"/>
  <c r="L7" i="1" s="1"/>
  <c r="P6" i="1"/>
  <c r="M6" i="1"/>
  <c r="J6" i="1"/>
  <c r="I6" i="1"/>
  <c r="L6" i="1" s="1"/>
  <c r="H6" i="1"/>
  <c r="M5" i="1"/>
  <c r="P5" i="1" s="1"/>
  <c r="J5" i="1"/>
  <c r="I5" i="1"/>
  <c r="H5" i="1"/>
  <c r="L5" i="1" s="1"/>
  <c r="Q4" i="1"/>
  <c r="Q25" i="1" s="1"/>
  <c r="M4" i="1"/>
  <c r="M25" i="1" s="1"/>
  <c r="J4" i="1"/>
  <c r="J25" i="1" s="1"/>
  <c r="I4" i="1"/>
  <c r="I25" i="1" s="1"/>
  <c r="H4" i="1"/>
  <c r="L4" i="1" s="1"/>
  <c r="N5" i="6" l="1"/>
  <c r="O5" i="6" s="1"/>
  <c r="R5" i="6"/>
  <c r="R6" i="6"/>
  <c r="N6" i="6"/>
  <c r="N10" i="6"/>
  <c r="O10" i="6" s="1"/>
  <c r="R10" i="6"/>
  <c r="R11" i="6"/>
  <c r="N11" i="6"/>
  <c r="O11" i="6" s="1"/>
  <c r="R15" i="6"/>
  <c r="N15" i="6"/>
  <c r="R16" i="6"/>
  <c r="N16" i="6"/>
  <c r="N17" i="6"/>
  <c r="O17" i="6" s="1"/>
  <c r="R17" i="6"/>
  <c r="R18" i="6"/>
  <c r="N18" i="6"/>
  <c r="O18" i="6" s="1"/>
  <c r="N21" i="6"/>
  <c r="O21" i="6" s="1"/>
  <c r="R21" i="6"/>
  <c r="R23" i="6"/>
  <c r="N23" i="6"/>
  <c r="N24" i="6"/>
  <c r="O24" i="6" s="1"/>
  <c r="R24" i="6"/>
  <c r="N7" i="6"/>
  <c r="O7" i="6" s="1"/>
  <c r="R7" i="6"/>
  <c r="R8" i="6"/>
  <c r="N8" i="6"/>
  <c r="O8" i="6" s="1"/>
  <c r="R9" i="6"/>
  <c r="N9" i="6"/>
  <c r="O9" i="6" s="1"/>
  <c r="R12" i="6"/>
  <c r="N12" i="6"/>
  <c r="N13" i="6"/>
  <c r="R13" i="6"/>
  <c r="R14" i="6"/>
  <c r="N14" i="6"/>
  <c r="O14" i="6" s="1"/>
  <c r="N19" i="6"/>
  <c r="O19" i="6" s="1"/>
  <c r="R19" i="6"/>
  <c r="R20" i="6"/>
  <c r="N20" i="6"/>
  <c r="O20" i="6" s="1"/>
  <c r="L4" i="6"/>
  <c r="R6" i="5"/>
  <c r="N6" i="5"/>
  <c r="R11" i="5"/>
  <c r="N11" i="5"/>
  <c r="O11" i="5" s="1"/>
  <c r="R8" i="5"/>
  <c r="N8" i="5"/>
  <c r="O8" i="5" s="1"/>
  <c r="M25" i="5"/>
  <c r="P4" i="5"/>
  <c r="P25" i="5" s="1"/>
  <c r="Q25" i="5"/>
  <c r="R5" i="5"/>
  <c r="N9" i="5"/>
  <c r="O9" i="5" s="1"/>
  <c r="N13" i="5"/>
  <c r="R13" i="5"/>
  <c r="R18" i="5"/>
  <c r="N18" i="5"/>
  <c r="O18" i="5" s="1"/>
  <c r="N19" i="5"/>
  <c r="O19" i="5" s="1"/>
  <c r="R19" i="5"/>
  <c r="L4" i="5"/>
  <c r="N4" i="5" s="1"/>
  <c r="H25" i="5"/>
  <c r="R7" i="5"/>
  <c r="R10" i="5"/>
  <c r="R12" i="5"/>
  <c r="N12" i="5"/>
  <c r="R14" i="5"/>
  <c r="N14" i="5"/>
  <c r="O14" i="5" s="1"/>
  <c r="R15" i="5"/>
  <c r="N15" i="5"/>
  <c r="R16" i="5"/>
  <c r="N16" i="5"/>
  <c r="N17" i="5"/>
  <c r="O17" i="5" s="1"/>
  <c r="R17" i="5"/>
  <c r="R20" i="5"/>
  <c r="N20" i="5"/>
  <c r="O20" i="5" s="1"/>
  <c r="N21" i="5"/>
  <c r="O21" i="5" s="1"/>
  <c r="R21" i="5"/>
  <c r="R23" i="5"/>
  <c r="N23" i="5"/>
  <c r="N24" i="5"/>
  <c r="O24" i="5" s="1"/>
  <c r="R24" i="5"/>
  <c r="N7" i="3"/>
  <c r="O7" i="3" s="1"/>
  <c r="R7" i="3"/>
  <c r="N8" i="3"/>
  <c r="O8" i="3" s="1"/>
  <c r="R8" i="3"/>
  <c r="R12" i="3"/>
  <c r="N12" i="3"/>
  <c r="R13" i="3"/>
  <c r="N13" i="3"/>
  <c r="R14" i="3"/>
  <c r="N14" i="3"/>
  <c r="O14" i="3" s="1"/>
  <c r="N19" i="3"/>
  <c r="O19" i="3" s="1"/>
  <c r="R19" i="3"/>
  <c r="R20" i="3"/>
  <c r="N20" i="3"/>
  <c r="O20" i="3" s="1"/>
  <c r="N5" i="3"/>
  <c r="O5" i="3" s="1"/>
  <c r="R5" i="3"/>
  <c r="N6" i="3"/>
  <c r="R6" i="3"/>
  <c r="R9" i="3"/>
  <c r="N9" i="3"/>
  <c r="O9" i="3" s="1"/>
  <c r="R10" i="3"/>
  <c r="N10" i="3"/>
  <c r="O10" i="3" s="1"/>
  <c r="N11" i="3"/>
  <c r="O11" i="3" s="1"/>
  <c r="R11" i="3"/>
  <c r="N15" i="3"/>
  <c r="R15" i="3"/>
  <c r="N16" i="3"/>
  <c r="R16" i="3"/>
  <c r="N17" i="3"/>
  <c r="O17" i="3" s="1"/>
  <c r="R17" i="3"/>
  <c r="R18" i="3"/>
  <c r="N18" i="3"/>
  <c r="O18" i="3" s="1"/>
  <c r="N21" i="3"/>
  <c r="O21" i="3" s="1"/>
  <c r="R21" i="3"/>
  <c r="R23" i="3"/>
  <c r="N23" i="3"/>
  <c r="N24" i="3"/>
  <c r="O24" i="3" s="1"/>
  <c r="R24" i="3"/>
  <c r="L4" i="3"/>
  <c r="P6" i="3"/>
  <c r="P25" i="3" s="1"/>
  <c r="N5" i="2"/>
  <c r="O5" i="2" s="1"/>
  <c r="R5" i="2"/>
  <c r="R6" i="2"/>
  <c r="N6" i="2"/>
  <c r="N9" i="2"/>
  <c r="O9" i="2" s="1"/>
  <c r="R9" i="2"/>
  <c r="N10" i="2"/>
  <c r="O10" i="2" s="1"/>
  <c r="R10" i="2"/>
  <c r="R11" i="2"/>
  <c r="N11" i="2"/>
  <c r="O11" i="2" s="1"/>
  <c r="R15" i="2"/>
  <c r="N15" i="2"/>
  <c r="R16" i="2"/>
  <c r="N16" i="2"/>
  <c r="N17" i="2"/>
  <c r="O17" i="2" s="1"/>
  <c r="R17" i="2"/>
  <c r="R18" i="2"/>
  <c r="N18" i="2"/>
  <c r="O18" i="2" s="1"/>
  <c r="N21" i="2"/>
  <c r="O21" i="2" s="1"/>
  <c r="R21" i="2"/>
  <c r="R23" i="2"/>
  <c r="N23" i="2"/>
  <c r="N24" i="2"/>
  <c r="O24" i="2" s="1"/>
  <c r="R24" i="2"/>
  <c r="R7" i="2"/>
  <c r="N7" i="2"/>
  <c r="O7" i="2" s="1"/>
  <c r="N8" i="2"/>
  <c r="O8" i="2" s="1"/>
  <c r="R8" i="2"/>
  <c r="R12" i="2"/>
  <c r="N12" i="2"/>
  <c r="N13" i="2"/>
  <c r="R13" i="2"/>
  <c r="R14" i="2"/>
  <c r="N14" i="2"/>
  <c r="O14" i="2" s="1"/>
  <c r="N19" i="2"/>
  <c r="O19" i="2" s="1"/>
  <c r="R19" i="2"/>
  <c r="R20" i="2"/>
  <c r="N20" i="2"/>
  <c r="O20" i="2" s="1"/>
  <c r="L4" i="2"/>
  <c r="P6" i="2"/>
  <c r="P25" i="2" s="1"/>
  <c r="N5" i="1"/>
  <c r="O5" i="1" s="1"/>
  <c r="R5" i="1"/>
  <c r="R8" i="1"/>
  <c r="N8" i="1"/>
  <c r="O8" i="1" s="1"/>
  <c r="R9" i="1"/>
  <c r="N9" i="1"/>
  <c r="O9" i="1" s="1"/>
  <c r="N10" i="1"/>
  <c r="O10" i="1" s="1"/>
  <c r="R10" i="1"/>
  <c r="R18" i="1"/>
  <c r="N18" i="1"/>
  <c r="O18" i="1" s="1"/>
  <c r="N19" i="1"/>
  <c r="O19" i="1" s="1"/>
  <c r="R19" i="1"/>
  <c r="R4" i="1"/>
  <c r="L25" i="1"/>
  <c r="R25" i="1" s="1"/>
  <c r="R6" i="1"/>
  <c r="N6" i="1"/>
  <c r="N7" i="1"/>
  <c r="O7" i="1" s="1"/>
  <c r="R7" i="1"/>
  <c r="R11" i="1"/>
  <c r="N11" i="1"/>
  <c r="O11" i="1" s="1"/>
  <c r="R12" i="1"/>
  <c r="N12" i="1"/>
  <c r="N13" i="1"/>
  <c r="R13" i="1"/>
  <c r="R14" i="1"/>
  <c r="N14" i="1"/>
  <c r="O14" i="1" s="1"/>
  <c r="R15" i="1"/>
  <c r="N15" i="1"/>
  <c r="R16" i="1"/>
  <c r="N16" i="1"/>
  <c r="N17" i="1"/>
  <c r="O17" i="1" s="1"/>
  <c r="R17" i="1"/>
  <c r="R20" i="1"/>
  <c r="N20" i="1"/>
  <c r="O20" i="1" s="1"/>
  <c r="N21" i="1"/>
  <c r="O21" i="1" s="1"/>
  <c r="R21" i="1"/>
  <c r="R23" i="1"/>
  <c r="N23" i="1"/>
  <c r="N24" i="1"/>
  <c r="O24" i="1" s="1"/>
  <c r="R24" i="1"/>
  <c r="H25" i="1"/>
  <c r="N4" i="1"/>
  <c r="P4" i="1"/>
  <c r="P25" i="1" s="1"/>
  <c r="N28" i="6" l="1"/>
  <c r="O6" i="6"/>
  <c r="R4" i="6"/>
  <c r="N4" i="6"/>
  <c r="L25" i="6"/>
  <c r="R25" i="6" s="1"/>
  <c r="N25" i="5"/>
  <c r="O4" i="5"/>
  <c r="N28" i="5"/>
  <c r="O6" i="5"/>
  <c r="R4" i="5"/>
  <c r="L25" i="5"/>
  <c r="R25" i="5" s="1"/>
  <c r="R4" i="3"/>
  <c r="N4" i="3"/>
  <c r="L25" i="3"/>
  <c r="R25" i="3" s="1"/>
  <c r="N28" i="3"/>
  <c r="O6" i="3"/>
  <c r="L25" i="2"/>
  <c r="R25" i="2" s="1"/>
  <c r="R4" i="2"/>
  <c r="N4" i="2"/>
  <c r="N28" i="2"/>
  <c r="O6" i="2"/>
  <c r="N25" i="1"/>
  <c r="O4" i="1"/>
  <c r="N28" i="1"/>
  <c r="O6" i="1"/>
  <c r="N25" i="6" l="1"/>
  <c r="O4" i="6"/>
  <c r="O25" i="6" s="1"/>
  <c r="O25" i="5"/>
  <c r="N25" i="3"/>
  <c r="O4" i="3"/>
  <c r="O25" i="3" s="1"/>
  <c r="N25" i="2"/>
  <c r="O4" i="2"/>
  <c r="O25" i="2" s="1"/>
  <c r="O25" i="1"/>
</calcChain>
</file>

<file path=xl/comments1.xml><?xml version="1.0" encoding="utf-8"?>
<comments xmlns="http://schemas.openxmlformats.org/spreadsheetml/2006/main">
  <authors>
    <author>Автор</author>
  </authors>
  <commentLis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Новые котлы 2 по 1000 или 4 по 500 кВТ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без котла №1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законсервированы 2 и 4 ДКВр и 2 ДЕ - приказ о выводе из эксплуатации в СЭК </t>
        </r>
      </text>
    </comment>
    <comment ref="O18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минус плановые т/у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данным ОТА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паспорту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Новые котлы 2 по 1000 или 4 по 500 кВТ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без котла №1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законсервированы 2 и 4 ДКВр и 2 ДЕ - приказ о выводе из эксплуатации в СЭК </t>
        </r>
      </text>
    </comment>
    <comment ref="O18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минус плановые т/у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данным ОТА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паспорту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Новые котлы 2 по 1000 или 4 по 500 кВТ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без котла №1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законсервированы 2 и 4 ДКВр и 2 ДЕ - приказ о выводе из эксплуатации в СЭК </t>
        </r>
      </text>
    </comment>
    <comment ref="O18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минус плановые т/у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данным ОТА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паспорту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Новые котлы 2 по 1000 или 4 по 500 кВТ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без котла №1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законсервированы 2 и 4 ДКВр и 2 ДЕ - приказ о выводе из эксплуатации в СЭК </t>
        </r>
      </text>
    </comment>
    <comment ref="O18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минус плановые т/у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данным ОТА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паспорту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M9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Новые котлы 2 по 1000 или 4 по 500 кВТ</t>
        </r>
      </text>
    </comment>
    <comment ref="M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без котла №1</t>
        </r>
      </text>
    </comment>
    <comment ref="M18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законсервированы 2 и 4 ДКВр и 2 ДЕ - приказ о выводе из эксплуатации в СЭК </t>
        </r>
      </text>
    </comment>
    <comment ref="O18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минус плановые т/у</t>
        </r>
      </text>
    </comment>
    <comment ref="K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 данным ОТА</t>
        </r>
      </text>
    </comment>
    <comment ref="M24" authorId="0">
      <text>
        <r>
          <rPr>
            <b/>
            <sz val="8"/>
            <color indexed="81"/>
            <rFont val="Tahoma"/>
            <charset val="1"/>
          </rPr>
          <t>Автор:</t>
        </r>
        <r>
          <rPr>
            <sz val="8"/>
            <color indexed="81"/>
            <rFont val="Tahoma"/>
            <charset val="1"/>
          </rPr>
          <t xml:space="preserve">
по паспорту</t>
        </r>
      </text>
    </comment>
  </commentList>
</comments>
</file>

<file path=xl/sharedStrings.xml><?xml version="1.0" encoding="utf-8"?>
<sst xmlns="http://schemas.openxmlformats.org/spreadsheetml/2006/main" count="345" uniqueCount="68">
  <si>
    <t>Источник</t>
  </si>
  <si>
    <t>адрес объекта</t>
  </si>
  <si>
    <t>Подключенная нагрузка потребителей</t>
  </si>
  <si>
    <t xml:space="preserve">Потери в тепловых сетях (в т.ч. в сетях потребителей, Гкал/ч  </t>
  </si>
  <si>
    <t xml:space="preserve">Собственные нужды котельной, Гкал/ч  </t>
  </si>
  <si>
    <t xml:space="preserve">Хозяйственные нужды предприятия, Гкал/ч  </t>
  </si>
  <si>
    <t xml:space="preserve">Суммарная подключенная нагрузка котельной, Гкал/ч  </t>
  </si>
  <si>
    <t xml:space="preserve">Установленная мощность котельной (по режимным картам), Гкал/ч  </t>
  </si>
  <si>
    <t xml:space="preserve">Резерв мощности системы теплоснабжения, Гкал/ч  </t>
  </si>
  <si>
    <t xml:space="preserve">Резерв мощности системы теплоснабжения для раскрытие информации, Гкал/ч  </t>
  </si>
  <si>
    <t>Возможная выработка ТЭ при максимальной загрузке всех установленных котлов, Гкал/год</t>
  </si>
  <si>
    <t xml:space="preserve">Установленная мощность котельной (по паспортным характеристикам), Гкал/ч  </t>
  </si>
  <si>
    <t xml:space="preserve">Загрузка оборудования,% </t>
  </si>
  <si>
    <t>Qотоп (Гк/ч)</t>
  </si>
  <si>
    <t>Q п/с (Гк/ч)</t>
  </si>
  <si>
    <t>Qвент (Гк/ч)</t>
  </si>
  <si>
    <t>Qтехн (Гк/ч)</t>
  </si>
  <si>
    <t>Qгвс (Гк/ч)</t>
  </si>
  <si>
    <t>ИТОГО</t>
  </si>
  <si>
    <t>котельная №1</t>
  </si>
  <si>
    <t>Ивановская обл.,Ивановский р-н, с.Богородское, ул.Б.Клинцевская, 2а</t>
  </si>
  <si>
    <t>котельная №2</t>
  </si>
  <si>
    <t>м.Харинка, ул.Окуловой, 77</t>
  </si>
  <si>
    <t>котельная №3</t>
  </si>
  <si>
    <t xml:space="preserve">м.Лесное, ул.Хвойная, 2 </t>
  </si>
  <si>
    <t>котельная №10</t>
  </si>
  <si>
    <t>ул. Детская, 2/7</t>
  </si>
  <si>
    <t>котельная №17</t>
  </si>
  <si>
    <t xml:space="preserve">м. Лесное, ул. 5-я Снежная, 3  </t>
  </si>
  <si>
    <t>котельная №18</t>
  </si>
  <si>
    <t>ул.Свободы,1</t>
  </si>
  <si>
    <t>котельная №19</t>
  </si>
  <si>
    <t>ул.Шувандиной,111</t>
  </si>
  <si>
    <t>котельная №23</t>
  </si>
  <si>
    <t xml:space="preserve">ул.Садовского, 7  </t>
  </si>
  <si>
    <t>котельная №24</t>
  </si>
  <si>
    <t>ул.Носова, 49</t>
  </si>
  <si>
    <t>нет</t>
  </si>
  <si>
    <t>котельная №25</t>
  </si>
  <si>
    <t>ул. Неждановская,19</t>
  </si>
  <si>
    <t>котельная №30</t>
  </si>
  <si>
    <t>ул.Володиной, 7</t>
  </si>
  <si>
    <t>котельная №31</t>
  </si>
  <si>
    <t>ул.Лебедева-Кумача,10-б</t>
  </si>
  <si>
    <t>котельная №33</t>
  </si>
  <si>
    <t>ул.Авдотьинская, 20а</t>
  </si>
  <si>
    <t>котельная №35</t>
  </si>
  <si>
    <t xml:space="preserve">ул.Маршала Жаворонкова,40  </t>
  </si>
  <si>
    <t>котельная №37*</t>
  </si>
  <si>
    <t>ул.Полка Нормандия Неман, 103</t>
  </si>
  <si>
    <t>котельная №39</t>
  </si>
  <si>
    <t xml:space="preserve">м.Горино, 2-я Ягодная,31 </t>
  </si>
  <si>
    <t>котельная №41</t>
  </si>
  <si>
    <t>ул.Сахарова, 56 (строение 1)</t>
  </si>
  <si>
    <t>котельная №43</t>
  </si>
  <si>
    <t xml:space="preserve">ул. 9-я Линия,д.1/6  </t>
  </si>
  <si>
    <t>котельная №44</t>
  </si>
  <si>
    <t xml:space="preserve">ул. 1-я Завокзальная,24  </t>
  </si>
  <si>
    <t>котельная №45</t>
  </si>
  <si>
    <t>ул. Красных Зорь, 28</t>
  </si>
  <si>
    <t>котельная №46</t>
  </si>
  <si>
    <t>ул. Красных Зорь, 50</t>
  </si>
  <si>
    <t>*установленная мощность указана по паспортным характеристикам без учета котла №2 ДЕ, находящийся в консервации</t>
  </si>
  <si>
    <t>Справка по подключенной нагрузке котельных АО "ИвГТЭ" по состоянию на 31.12.2018г.</t>
  </si>
  <si>
    <t>Справка по подключенной нагрузке котельных АО "ИвГТЭ" по состоянию на 31.12.2019г.</t>
  </si>
  <si>
    <t>Справка по подключенной нагрузке котельных АО "ИвГТЭ" по состоянию на 31.12.2020 г.</t>
  </si>
  <si>
    <t>Справка по подключенной нагрузке котельных АО "ИвГТЭ" по состоянию на 31.12.2022 г.</t>
  </si>
  <si>
    <t>Справка по подключенной нагрузке котельных АО "ИвГТЭ" по состоянию на 31.12.2021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</si>
</sst>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;[Red]\-0.0000"/>
    <numFmt numFmtId="165" formatCode="0.0000"/>
    <numFmt numFmtId="166" formatCode="0.000"/>
    <numFmt numFmtId="167" formatCode="0.0"/>
    <numFmt numFmtId="168" formatCode="0.00000000000000"/>
  </numFmts>
  <fonts count="14" x14ac:knownFonts="1"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charset val="1"/>
    </font>
    <font>
      <sz val="8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Continuous" vertical="center" wrapText="1"/>
    </xf>
    <xf numFmtId="0" fontId="2" fillId="0" borderId="9" xfId="0" applyFont="1" applyFill="1" applyBorder="1" applyAlignment="1">
      <alignment horizontal="centerContinuous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12" xfId="0" applyFont="1" applyFill="1" applyBorder="1"/>
    <xf numFmtId="0" fontId="5" fillId="0" borderId="12" xfId="0" applyFont="1" applyFill="1" applyBorder="1" applyAlignment="1">
      <alignment horizontal="left" vertical="center" wrapText="1"/>
    </xf>
    <xf numFmtId="164" fontId="6" fillId="2" borderId="12" xfId="0" applyNumberFormat="1" applyFont="1" applyFill="1" applyBorder="1"/>
    <xf numFmtId="1" fontId="6" fillId="2" borderId="12" xfId="0" applyNumberFormat="1" applyFont="1" applyFill="1" applyBorder="1"/>
    <xf numFmtId="164" fontId="7" fillId="0" borderId="13" xfId="0" applyNumberFormat="1" applyFont="1" applyFill="1" applyBorder="1"/>
    <xf numFmtId="165" fontId="8" fillId="0" borderId="12" xfId="0" applyNumberFormat="1" applyFont="1" applyFill="1" applyBorder="1"/>
    <xf numFmtId="165" fontId="8" fillId="0" borderId="13" xfId="0" applyNumberFormat="1" applyFont="1" applyFill="1" applyBorder="1"/>
    <xf numFmtId="1" fontId="8" fillId="0" borderId="13" xfId="0" applyNumberFormat="1" applyFont="1" applyFill="1" applyBorder="1"/>
    <xf numFmtId="166" fontId="4" fillId="0" borderId="13" xfId="0" applyNumberFormat="1" applyFont="1" applyFill="1" applyBorder="1"/>
    <xf numFmtId="0" fontId="0" fillId="0" borderId="12" xfId="0" applyFill="1" applyBorder="1"/>
    <xf numFmtId="166" fontId="0" fillId="0" borderId="12" xfId="0" applyNumberFormat="1" applyBorder="1"/>
    <xf numFmtId="166" fontId="0" fillId="0" borderId="14" xfId="0" applyNumberFormat="1" applyBorder="1"/>
    <xf numFmtId="2" fontId="0" fillId="0" borderId="12" xfId="0" applyNumberFormat="1" applyFill="1" applyBorder="1" applyAlignment="1">
      <alignment horizontal="center" vertical="center"/>
    </xf>
    <xf numFmtId="0" fontId="0" fillId="3" borderId="12" xfId="0" applyFill="1" applyBorder="1"/>
    <xf numFmtId="2" fontId="0" fillId="0" borderId="15" xfId="0" applyNumberFormat="1" applyBorder="1"/>
    <xf numFmtId="0" fontId="5" fillId="0" borderId="16" xfId="0" applyFont="1" applyFill="1" applyBorder="1"/>
    <xf numFmtId="0" fontId="5" fillId="0" borderId="16" xfId="0" applyFont="1" applyFill="1" applyBorder="1" applyAlignment="1">
      <alignment horizontal="left"/>
    </xf>
    <xf numFmtId="164" fontId="6" fillId="2" borderId="16" xfId="0" applyNumberFormat="1" applyFont="1" applyFill="1" applyBorder="1"/>
    <xf numFmtId="1" fontId="6" fillId="2" borderId="16" xfId="0" applyNumberFormat="1" applyFont="1" applyFill="1" applyBorder="1"/>
    <xf numFmtId="164" fontId="7" fillId="0" borderId="17" xfId="0" applyNumberFormat="1" applyFont="1" applyFill="1" applyBorder="1"/>
    <xf numFmtId="165" fontId="8" fillId="0" borderId="17" xfId="0" applyNumberFormat="1" applyFont="1" applyFill="1" applyBorder="1"/>
    <xf numFmtId="1" fontId="8" fillId="0" borderId="17" xfId="0" applyNumberFormat="1" applyFont="1" applyFill="1" applyBorder="1"/>
    <xf numFmtId="166" fontId="4" fillId="0" borderId="17" xfId="0" applyNumberFormat="1" applyFont="1" applyFill="1" applyBorder="1"/>
    <xf numFmtId="0" fontId="0" fillId="0" borderId="16" xfId="0" applyFill="1" applyBorder="1"/>
    <xf numFmtId="166" fontId="0" fillId="0" borderId="16" xfId="0" applyNumberFormat="1" applyBorder="1"/>
    <xf numFmtId="166" fontId="0" fillId="0" borderId="17" xfId="0" applyNumberFormat="1" applyBorder="1"/>
    <xf numFmtId="2" fontId="0" fillId="0" borderId="16" xfId="0" applyNumberFormat="1" applyFill="1" applyBorder="1" applyAlignment="1">
      <alignment horizontal="center" vertical="center"/>
    </xf>
    <xf numFmtId="0" fontId="0" fillId="2" borderId="16" xfId="0" applyFill="1" applyBorder="1"/>
    <xf numFmtId="2" fontId="0" fillId="0" borderId="18" xfId="0" applyNumberFormat="1" applyBorder="1"/>
    <xf numFmtId="0" fontId="5" fillId="0" borderId="16" xfId="0" applyFont="1" applyFill="1" applyBorder="1" applyAlignment="1">
      <alignment horizontal="left" vertical="center" wrapText="1"/>
    </xf>
    <xf numFmtId="2" fontId="0" fillId="0" borderId="16" xfId="0" applyNumberFormat="1" applyBorder="1" applyAlignment="1">
      <alignment horizontal="center" vertical="center"/>
    </xf>
    <xf numFmtId="0" fontId="0" fillId="4" borderId="16" xfId="0" applyFill="1" applyBorder="1"/>
    <xf numFmtId="166" fontId="0" fillId="2" borderId="16" xfId="0" applyNumberFormat="1" applyFill="1" applyBorder="1"/>
    <xf numFmtId="166" fontId="0" fillId="0" borderId="17" xfId="0" applyNumberFormat="1" applyBorder="1" applyAlignment="1">
      <alignment horizontal="right"/>
    </xf>
    <xf numFmtId="166" fontId="0" fillId="0" borderId="16" xfId="0" applyNumberFormat="1" applyFill="1" applyBorder="1"/>
    <xf numFmtId="166" fontId="0" fillId="0" borderId="17" xfId="0" applyNumberFormat="1" applyFill="1" applyBorder="1"/>
    <xf numFmtId="0" fontId="9" fillId="2" borderId="16" xfId="0" applyFont="1" applyFill="1" applyBorder="1" applyAlignment="1">
      <alignment horizontal="right" vertical="center" wrapText="1"/>
    </xf>
    <xf numFmtId="0" fontId="5" fillId="0" borderId="16" xfId="0" applyFont="1" applyFill="1" applyBorder="1" applyAlignment="1">
      <alignment vertical="center" wrapText="1"/>
    </xf>
    <xf numFmtId="0" fontId="0" fillId="0" borderId="16" xfId="0" applyBorder="1"/>
    <xf numFmtId="0" fontId="5" fillId="0" borderId="19" xfId="0" applyFont="1" applyFill="1" applyBorder="1"/>
    <xf numFmtId="0" fontId="5" fillId="0" borderId="19" xfId="0" applyFont="1" applyFill="1" applyBorder="1" applyAlignment="1">
      <alignment vertical="center" wrapText="1"/>
    </xf>
    <xf numFmtId="164" fontId="6" fillId="2" borderId="19" xfId="0" applyNumberFormat="1" applyFont="1" applyFill="1" applyBorder="1"/>
    <xf numFmtId="1" fontId="6" fillId="2" borderId="19" xfId="0" applyNumberFormat="1" applyFont="1" applyFill="1" applyBorder="1"/>
    <xf numFmtId="164" fontId="7" fillId="0" borderId="20" xfId="0" applyNumberFormat="1" applyFont="1" applyFill="1" applyBorder="1"/>
    <xf numFmtId="165" fontId="8" fillId="0" borderId="21" xfId="0" applyNumberFormat="1" applyFont="1" applyFill="1" applyBorder="1"/>
    <xf numFmtId="165" fontId="8" fillId="0" borderId="20" xfId="0" applyNumberFormat="1" applyFont="1" applyFill="1" applyBorder="1"/>
    <xf numFmtId="1" fontId="8" fillId="0" borderId="20" xfId="0" applyNumberFormat="1" applyFont="1" applyFill="1" applyBorder="1"/>
    <xf numFmtId="166" fontId="4" fillId="0" borderId="20" xfId="0" applyNumberFormat="1" applyFont="1" applyFill="1" applyBorder="1"/>
    <xf numFmtId="0" fontId="0" fillId="5" borderId="19" xfId="0" applyFill="1" applyBorder="1"/>
    <xf numFmtId="166" fontId="0" fillId="0" borderId="19" xfId="0" applyNumberFormat="1" applyBorder="1"/>
    <xf numFmtId="166" fontId="0" fillId="0" borderId="14" xfId="0" applyNumberFormat="1" applyBorder="1" applyAlignment="1">
      <alignment horizontal="right"/>
    </xf>
    <xf numFmtId="2" fontId="0" fillId="0" borderId="19" xfId="0" applyNumberFormat="1" applyBorder="1" applyAlignment="1">
      <alignment horizontal="center" vertical="center"/>
    </xf>
    <xf numFmtId="0" fontId="0" fillId="0" borderId="19" xfId="0" applyBorder="1"/>
    <xf numFmtId="0" fontId="5" fillId="0" borderId="22" xfId="0" applyFont="1" applyFill="1" applyBorder="1"/>
    <xf numFmtId="0" fontId="5" fillId="0" borderId="23" xfId="0" applyFont="1" applyFill="1" applyBorder="1"/>
    <xf numFmtId="2" fontId="4" fillId="0" borderId="24" xfId="0" applyNumberFormat="1" applyFont="1" applyFill="1" applyBorder="1"/>
    <xf numFmtId="2" fontId="8" fillId="0" borderId="24" xfId="0" applyNumberFormat="1" applyFont="1" applyFill="1" applyBorder="1"/>
    <xf numFmtId="2" fontId="8" fillId="0" borderId="25" xfId="0" applyNumberFormat="1" applyFont="1" applyFill="1" applyBorder="1"/>
    <xf numFmtId="167" fontId="4" fillId="0" borderId="25" xfId="0" applyNumberFormat="1" applyFont="1" applyFill="1" applyBorder="1"/>
    <xf numFmtId="167" fontId="4" fillId="0" borderId="25" xfId="0" applyNumberFormat="1" applyFont="1" applyFill="1" applyBorder="1" applyAlignment="1"/>
    <xf numFmtId="167" fontId="4" fillId="0" borderId="26" xfId="0" applyNumberFormat="1" applyFont="1" applyFill="1" applyBorder="1" applyAlignment="1"/>
    <xf numFmtId="2" fontId="4" fillId="0" borderId="4" xfId="0" applyNumberFormat="1" applyFont="1" applyFill="1" applyBorder="1" applyAlignment="1"/>
    <xf numFmtId="2" fontId="0" fillId="0" borderId="27" xfId="0" applyNumberFormat="1" applyBorder="1"/>
    <xf numFmtId="0" fontId="5" fillId="0" borderId="28" xfId="0" applyFont="1" applyFill="1" applyBorder="1"/>
    <xf numFmtId="0" fontId="5" fillId="0" borderId="0" xfId="0" applyFont="1" applyFill="1" applyBorder="1"/>
    <xf numFmtId="168" fontId="0" fillId="0" borderId="0" xfId="0" applyNumberFormat="1"/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5.42578125" customWidth="1"/>
    <col min="9" max="9" width="16.28515625" customWidth="1"/>
    <col min="10" max="11" width="16.42578125" customWidth="1"/>
    <col min="12" max="12" width="19.85546875" customWidth="1"/>
    <col min="13" max="13" width="21.28515625" customWidth="1"/>
    <col min="14" max="14" width="18.42578125" customWidth="1"/>
    <col min="15" max="15" width="17" customWidth="1"/>
    <col min="16" max="16" width="21.140625" customWidth="1"/>
    <col min="17" max="17" width="21" customWidth="1"/>
    <col min="18" max="18" width="17.85546875" customWidth="1"/>
    <col min="257" max="257" width="16.85546875" customWidth="1"/>
    <col min="258" max="258" width="25.42578125" customWidth="1"/>
    <col min="265" max="265" width="16.28515625" customWidth="1"/>
    <col min="266" max="267" width="16.42578125" customWidth="1"/>
    <col min="268" max="268" width="19.85546875" customWidth="1"/>
    <col min="269" max="269" width="21.28515625" customWidth="1"/>
    <col min="270" max="270" width="18.42578125" customWidth="1"/>
    <col min="271" max="271" width="17" customWidth="1"/>
    <col min="272" max="272" width="21.140625" customWidth="1"/>
    <col min="273" max="273" width="21" customWidth="1"/>
    <col min="274" max="274" width="17.85546875" customWidth="1"/>
    <col min="513" max="513" width="16.85546875" customWidth="1"/>
    <col min="514" max="514" width="25.42578125" customWidth="1"/>
    <col min="521" max="521" width="16.28515625" customWidth="1"/>
    <col min="522" max="523" width="16.42578125" customWidth="1"/>
    <col min="524" max="524" width="19.85546875" customWidth="1"/>
    <col min="525" max="525" width="21.28515625" customWidth="1"/>
    <col min="526" max="526" width="18.42578125" customWidth="1"/>
    <col min="527" max="527" width="17" customWidth="1"/>
    <col min="528" max="528" width="21.140625" customWidth="1"/>
    <col min="529" max="529" width="21" customWidth="1"/>
    <col min="530" max="530" width="17.85546875" customWidth="1"/>
    <col min="769" max="769" width="16.85546875" customWidth="1"/>
    <col min="770" max="770" width="25.42578125" customWidth="1"/>
    <col min="777" max="777" width="16.28515625" customWidth="1"/>
    <col min="778" max="779" width="16.42578125" customWidth="1"/>
    <col min="780" max="780" width="19.85546875" customWidth="1"/>
    <col min="781" max="781" width="21.28515625" customWidth="1"/>
    <col min="782" max="782" width="18.42578125" customWidth="1"/>
    <col min="783" max="783" width="17" customWidth="1"/>
    <col min="784" max="784" width="21.140625" customWidth="1"/>
    <col min="785" max="785" width="21" customWidth="1"/>
    <col min="786" max="786" width="17.85546875" customWidth="1"/>
    <col min="1025" max="1025" width="16.85546875" customWidth="1"/>
    <col min="1026" max="1026" width="25.42578125" customWidth="1"/>
    <col min="1033" max="1033" width="16.28515625" customWidth="1"/>
    <col min="1034" max="1035" width="16.42578125" customWidth="1"/>
    <col min="1036" max="1036" width="19.85546875" customWidth="1"/>
    <col min="1037" max="1037" width="21.28515625" customWidth="1"/>
    <col min="1038" max="1038" width="18.42578125" customWidth="1"/>
    <col min="1039" max="1039" width="17" customWidth="1"/>
    <col min="1040" max="1040" width="21.140625" customWidth="1"/>
    <col min="1041" max="1041" width="21" customWidth="1"/>
    <col min="1042" max="1042" width="17.85546875" customWidth="1"/>
    <col min="1281" max="1281" width="16.85546875" customWidth="1"/>
    <col min="1282" max="1282" width="25.42578125" customWidth="1"/>
    <col min="1289" max="1289" width="16.28515625" customWidth="1"/>
    <col min="1290" max="1291" width="16.42578125" customWidth="1"/>
    <col min="1292" max="1292" width="19.85546875" customWidth="1"/>
    <col min="1293" max="1293" width="21.28515625" customWidth="1"/>
    <col min="1294" max="1294" width="18.42578125" customWidth="1"/>
    <col min="1295" max="1295" width="17" customWidth="1"/>
    <col min="1296" max="1296" width="21.140625" customWidth="1"/>
    <col min="1297" max="1297" width="21" customWidth="1"/>
    <col min="1298" max="1298" width="17.85546875" customWidth="1"/>
    <col min="1537" max="1537" width="16.85546875" customWidth="1"/>
    <col min="1538" max="1538" width="25.42578125" customWidth="1"/>
    <col min="1545" max="1545" width="16.28515625" customWidth="1"/>
    <col min="1546" max="1547" width="16.42578125" customWidth="1"/>
    <col min="1548" max="1548" width="19.85546875" customWidth="1"/>
    <col min="1549" max="1549" width="21.28515625" customWidth="1"/>
    <col min="1550" max="1550" width="18.42578125" customWidth="1"/>
    <col min="1551" max="1551" width="17" customWidth="1"/>
    <col min="1552" max="1552" width="21.140625" customWidth="1"/>
    <col min="1553" max="1553" width="21" customWidth="1"/>
    <col min="1554" max="1554" width="17.85546875" customWidth="1"/>
    <col min="1793" max="1793" width="16.85546875" customWidth="1"/>
    <col min="1794" max="1794" width="25.42578125" customWidth="1"/>
    <col min="1801" max="1801" width="16.28515625" customWidth="1"/>
    <col min="1802" max="1803" width="16.42578125" customWidth="1"/>
    <col min="1804" max="1804" width="19.85546875" customWidth="1"/>
    <col min="1805" max="1805" width="21.28515625" customWidth="1"/>
    <col min="1806" max="1806" width="18.42578125" customWidth="1"/>
    <col min="1807" max="1807" width="17" customWidth="1"/>
    <col min="1808" max="1808" width="21.140625" customWidth="1"/>
    <col min="1809" max="1809" width="21" customWidth="1"/>
    <col min="1810" max="1810" width="17.85546875" customWidth="1"/>
    <col min="2049" max="2049" width="16.85546875" customWidth="1"/>
    <col min="2050" max="2050" width="25.42578125" customWidth="1"/>
    <col min="2057" max="2057" width="16.28515625" customWidth="1"/>
    <col min="2058" max="2059" width="16.42578125" customWidth="1"/>
    <col min="2060" max="2060" width="19.85546875" customWidth="1"/>
    <col min="2061" max="2061" width="21.28515625" customWidth="1"/>
    <col min="2062" max="2062" width="18.42578125" customWidth="1"/>
    <col min="2063" max="2063" width="17" customWidth="1"/>
    <col min="2064" max="2064" width="21.140625" customWidth="1"/>
    <col min="2065" max="2065" width="21" customWidth="1"/>
    <col min="2066" max="2066" width="17.85546875" customWidth="1"/>
    <col min="2305" max="2305" width="16.85546875" customWidth="1"/>
    <col min="2306" max="2306" width="25.42578125" customWidth="1"/>
    <col min="2313" max="2313" width="16.28515625" customWidth="1"/>
    <col min="2314" max="2315" width="16.42578125" customWidth="1"/>
    <col min="2316" max="2316" width="19.85546875" customWidth="1"/>
    <col min="2317" max="2317" width="21.28515625" customWidth="1"/>
    <col min="2318" max="2318" width="18.42578125" customWidth="1"/>
    <col min="2319" max="2319" width="17" customWidth="1"/>
    <col min="2320" max="2320" width="21.140625" customWidth="1"/>
    <col min="2321" max="2321" width="21" customWidth="1"/>
    <col min="2322" max="2322" width="17.85546875" customWidth="1"/>
    <col min="2561" max="2561" width="16.85546875" customWidth="1"/>
    <col min="2562" max="2562" width="25.42578125" customWidth="1"/>
    <col min="2569" max="2569" width="16.28515625" customWidth="1"/>
    <col min="2570" max="2571" width="16.42578125" customWidth="1"/>
    <col min="2572" max="2572" width="19.85546875" customWidth="1"/>
    <col min="2573" max="2573" width="21.28515625" customWidth="1"/>
    <col min="2574" max="2574" width="18.42578125" customWidth="1"/>
    <col min="2575" max="2575" width="17" customWidth="1"/>
    <col min="2576" max="2576" width="21.140625" customWidth="1"/>
    <col min="2577" max="2577" width="21" customWidth="1"/>
    <col min="2578" max="2578" width="17.85546875" customWidth="1"/>
    <col min="2817" max="2817" width="16.85546875" customWidth="1"/>
    <col min="2818" max="2818" width="25.42578125" customWidth="1"/>
    <col min="2825" max="2825" width="16.28515625" customWidth="1"/>
    <col min="2826" max="2827" width="16.42578125" customWidth="1"/>
    <col min="2828" max="2828" width="19.85546875" customWidth="1"/>
    <col min="2829" max="2829" width="21.28515625" customWidth="1"/>
    <col min="2830" max="2830" width="18.42578125" customWidth="1"/>
    <col min="2831" max="2831" width="17" customWidth="1"/>
    <col min="2832" max="2832" width="21.140625" customWidth="1"/>
    <col min="2833" max="2833" width="21" customWidth="1"/>
    <col min="2834" max="2834" width="17.85546875" customWidth="1"/>
    <col min="3073" max="3073" width="16.85546875" customWidth="1"/>
    <col min="3074" max="3074" width="25.42578125" customWidth="1"/>
    <col min="3081" max="3081" width="16.28515625" customWidth="1"/>
    <col min="3082" max="3083" width="16.42578125" customWidth="1"/>
    <col min="3084" max="3084" width="19.85546875" customWidth="1"/>
    <col min="3085" max="3085" width="21.28515625" customWidth="1"/>
    <col min="3086" max="3086" width="18.42578125" customWidth="1"/>
    <col min="3087" max="3087" width="17" customWidth="1"/>
    <col min="3088" max="3088" width="21.140625" customWidth="1"/>
    <col min="3089" max="3089" width="21" customWidth="1"/>
    <col min="3090" max="3090" width="17.85546875" customWidth="1"/>
    <col min="3329" max="3329" width="16.85546875" customWidth="1"/>
    <col min="3330" max="3330" width="25.42578125" customWidth="1"/>
    <col min="3337" max="3337" width="16.28515625" customWidth="1"/>
    <col min="3338" max="3339" width="16.42578125" customWidth="1"/>
    <col min="3340" max="3340" width="19.85546875" customWidth="1"/>
    <col min="3341" max="3341" width="21.28515625" customWidth="1"/>
    <col min="3342" max="3342" width="18.42578125" customWidth="1"/>
    <col min="3343" max="3343" width="17" customWidth="1"/>
    <col min="3344" max="3344" width="21.140625" customWidth="1"/>
    <col min="3345" max="3345" width="21" customWidth="1"/>
    <col min="3346" max="3346" width="17.85546875" customWidth="1"/>
    <col min="3585" max="3585" width="16.85546875" customWidth="1"/>
    <col min="3586" max="3586" width="25.42578125" customWidth="1"/>
    <col min="3593" max="3593" width="16.28515625" customWidth="1"/>
    <col min="3594" max="3595" width="16.42578125" customWidth="1"/>
    <col min="3596" max="3596" width="19.85546875" customWidth="1"/>
    <col min="3597" max="3597" width="21.28515625" customWidth="1"/>
    <col min="3598" max="3598" width="18.42578125" customWidth="1"/>
    <col min="3599" max="3599" width="17" customWidth="1"/>
    <col min="3600" max="3600" width="21.140625" customWidth="1"/>
    <col min="3601" max="3601" width="21" customWidth="1"/>
    <col min="3602" max="3602" width="17.85546875" customWidth="1"/>
    <col min="3841" max="3841" width="16.85546875" customWidth="1"/>
    <col min="3842" max="3842" width="25.42578125" customWidth="1"/>
    <col min="3849" max="3849" width="16.28515625" customWidth="1"/>
    <col min="3850" max="3851" width="16.42578125" customWidth="1"/>
    <col min="3852" max="3852" width="19.85546875" customWidth="1"/>
    <col min="3853" max="3853" width="21.28515625" customWidth="1"/>
    <col min="3854" max="3854" width="18.42578125" customWidth="1"/>
    <col min="3855" max="3855" width="17" customWidth="1"/>
    <col min="3856" max="3856" width="21.140625" customWidth="1"/>
    <col min="3857" max="3857" width="21" customWidth="1"/>
    <col min="3858" max="3858" width="17.85546875" customWidth="1"/>
    <col min="4097" max="4097" width="16.85546875" customWidth="1"/>
    <col min="4098" max="4098" width="25.42578125" customWidth="1"/>
    <col min="4105" max="4105" width="16.28515625" customWidth="1"/>
    <col min="4106" max="4107" width="16.42578125" customWidth="1"/>
    <col min="4108" max="4108" width="19.85546875" customWidth="1"/>
    <col min="4109" max="4109" width="21.28515625" customWidth="1"/>
    <col min="4110" max="4110" width="18.42578125" customWidth="1"/>
    <col min="4111" max="4111" width="17" customWidth="1"/>
    <col min="4112" max="4112" width="21.140625" customWidth="1"/>
    <col min="4113" max="4113" width="21" customWidth="1"/>
    <col min="4114" max="4114" width="17.85546875" customWidth="1"/>
    <col min="4353" max="4353" width="16.85546875" customWidth="1"/>
    <col min="4354" max="4354" width="25.42578125" customWidth="1"/>
    <col min="4361" max="4361" width="16.28515625" customWidth="1"/>
    <col min="4362" max="4363" width="16.42578125" customWidth="1"/>
    <col min="4364" max="4364" width="19.85546875" customWidth="1"/>
    <col min="4365" max="4365" width="21.28515625" customWidth="1"/>
    <col min="4366" max="4366" width="18.42578125" customWidth="1"/>
    <col min="4367" max="4367" width="17" customWidth="1"/>
    <col min="4368" max="4368" width="21.140625" customWidth="1"/>
    <col min="4369" max="4369" width="21" customWidth="1"/>
    <col min="4370" max="4370" width="17.85546875" customWidth="1"/>
    <col min="4609" max="4609" width="16.85546875" customWidth="1"/>
    <col min="4610" max="4610" width="25.42578125" customWidth="1"/>
    <col min="4617" max="4617" width="16.28515625" customWidth="1"/>
    <col min="4618" max="4619" width="16.42578125" customWidth="1"/>
    <col min="4620" max="4620" width="19.85546875" customWidth="1"/>
    <col min="4621" max="4621" width="21.28515625" customWidth="1"/>
    <col min="4622" max="4622" width="18.42578125" customWidth="1"/>
    <col min="4623" max="4623" width="17" customWidth="1"/>
    <col min="4624" max="4624" width="21.140625" customWidth="1"/>
    <col min="4625" max="4625" width="21" customWidth="1"/>
    <col min="4626" max="4626" width="17.85546875" customWidth="1"/>
    <col min="4865" max="4865" width="16.85546875" customWidth="1"/>
    <col min="4866" max="4866" width="25.42578125" customWidth="1"/>
    <col min="4873" max="4873" width="16.28515625" customWidth="1"/>
    <col min="4874" max="4875" width="16.42578125" customWidth="1"/>
    <col min="4876" max="4876" width="19.85546875" customWidth="1"/>
    <col min="4877" max="4877" width="21.28515625" customWidth="1"/>
    <col min="4878" max="4878" width="18.42578125" customWidth="1"/>
    <col min="4879" max="4879" width="17" customWidth="1"/>
    <col min="4880" max="4880" width="21.140625" customWidth="1"/>
    <col min="4881" max="4881" width="21" customWidth="1"/>
    <col min="4882" max="4882" width="17.85546875" customWidth="1"/>
    <col min="5121" max="5121" width="16.85546875" customWidth="1"/>
    <col min="5122" max="5122" width="25.42578125" customWidth="1"/>
    <col min="5129" max="5129" width="16.28515625" customWidth="1"/>
    <col min="5130" max="5131" width="16.42578125" customWidth="1"/>
    <col min="5132" max="5132" width="19.85546875" customWidth="1"/>
    <col min="5133" max="5133" width="21.28515625" customWidth="1"/>
    <col min="5134" max="5134" width="18.42578125" customWidth="1"/>
    <col min="5135" max="5135" width="17" customWidth="1"/>
    <col min="5136" max="5136" width="21.140625" customWidth="1"/>
    <col min="5137" max="5137" width="21" customWidth="1"/>
    <col min="5138" max="5138" width="17.85546875" customWidth="1"/>
    <col min="5377" max="5377" width="16.85546875" customWidth="1"/>
    <col min="5378" max="5378" width="25.42578125" customWidth="1"/>
    <col min="5385" max="5385" width="16.28515625" customWidth="1"/>
    <col min="5386" max="5387" width="16.42578125" customWidth="1"/>
    <col min="5388" max="5388" width="19.85546875" customWidth="1"/>
    <col min="5389" max="5389" width="21.28515625" customWidth="1"/>
    <col min="5390" max="5390" width="18.42578125" customWidth="1"/>
    <col min="5391" max="5391" width="17" customWidth="1"/>
    <col min="5392" max="5392" width="21.140625" customWidth="1"/>
    <col min="5393" max="5393" width="21" customWidth="1"/>
    <col min="5394" max="5394" width="17.85546875" customWidth="1"/>
    <col min="5633" max="5633" width="16.85546875" customWidth="1"/>
    <col min="5634" max="5634" width="25.42578125" customWidth="1"/>
    <col min="5641" max="5641" width="16.28515625" customWidth="1"/>
    <col min="5642" max="5643" width="16.42578125" customWidth="1"/>
    <col min="5644" max="5644" width="19.85546875" customWidth="1"/>
    <col min="5645" max="5645" width="21.28515625" customWidth="1"/>
    <col min="5646" max="5646" width="18.42578125" customWidth="1"/>
    <col min="5647" max="5647" width="17" customWidth="1"/>
    <col min="5648" max="5648" width="21.140625" customWidth="1"/>
    <col min="5649" max="5649" width="21" customWidth="1"/>
    <col min="5650" max="5650" width="17.85546875" customWidth="1"/>
    <col min="5889" max="5889" width="16.85546875" customWidth="1"/>
    <col min="5890" max="5890" width="25.42578125" customWidth="1"/>
    <col min="5897" max="5897" width="16.28515625" customWidth="1"/>
    <col min="5898" max="5899" width="16.42578125" customWidth="1"/>
    <col min="5900" max="5900" width="19.85546875" customWidth="1"/>
    <col min="5901" max="5901" width="21.28515625" customWidth="1"/>
    <col min="5902" max="5902" width="18.42578125" customWidth="1"/>
    <col min="5903" max="5903" width="17" customWidth="1"/>
    <col min="5904" max="5904" width="21.140625" customWidth="1"/>
    <col min="5905" max="5905" width="21" customWidth="1"/>
    <col min="5906" max="5906" width="17.85546875" customWidth="1"/>
    <col min="6145" max="6145" width="16.85546875" customWidth="1"/>
    <col min="6146" max="6146" width="25.42578125" customWidth="1"/>
    <col min="6153" max="6153" width="16.28515625" customWidth="1"/>
    <col min="6154" max="6155" width="16.42578125" customWidth="1"/>
    <col min="6156" max="6156" width="19.85546875" customWidth="1"/>
    <col min="6157" max="6157" width="21.28515625" customWidth="1"/>
    <col min="6158" max="6158" width="18.42578125" customWidth="1"/>
    <col min="6159" max="6159" width="17" customWidth="1"/>
    <col min="6160" max="6160" width="21.140625" customWidth="1"/>
    <col min="6161" max="6161" width="21" customWidth="1"/>
    <col min="6162" max="6162" width="17.85546875" customWidth="1"/>
    <col min="6401" max="6401" width="16.85546875" customWidth="1"/>
    <col min="6402" max="6402" width="25.42578125" customWidth="1"/>
    <col min="6409" max="6409" width="16.28515625" customWidth="1"/>
    <col min="6410" max="6411" width="16.42578125" customWidth="1"/>
    <col min="6412" max="6412" width="19.85546875" customWidth="1"/>
    <col min="6413" max="6413" width="21.28515625" customWidth="1"/>
    <col min="6414" max="6414" width="18.42578125" customWidth="1"/>
    <col min="6415" max="6415" width="17" customWidth="1"/>
    <col min="6416" max="6416" width="21.140625" customWidth="1"/>
    <col min="6417" max="6417" width="21" customWidth="1"/>
    <col min="6418" max="6418" width="17.85546875" customWidth="1"/>
    <col min="6657" max="6657" width="16.85546875" customWidth="1"/>
    <col min="6658" max="6658" width="25.42578125" customWidth="1"/>
    <col min="6665" max="6665" width="16.28515625" customWidth="1"/>
    <col min="6666" max="6667" width="16.42578125" customWidth="1"/>
    <col min="6668" max="6668" width="19.85546875" customWidth="1"/>
    <col min="6669" max="6669" width="21.28515625" customWidth="1"/>
    <col min="6670" max="6670" width="18.42578125" customWidth="1"/>
    <col min="6671" max="6671" width="17" customWidth="1"/>
    <col min="6672" max="6672" width="21.140625" customWidth="1"/>
    <col min="6673" max="6673" width="21" customWidth="1"/>
    <col min="6674" max="6674" width="17.85546875" customWidth="1"/>
    <col min="6913" max="6913" width="16.85546875" customWidth="1"/>
    <col min="6914" max="6914" width="25.42578125" customWidth="1"/>
    <col min="6921" max="6921" width="16.28515625" customWidth="1"/>
    <col min="6922" max="6923" width="16.42578125" customWidth="1"/>
    <col min="6924" max="6924" width="19.85546875" customWidth="1"/>
    <col min="6925" max="6925" width="21.28515625" customWidth="1"/>
    <col min="6926" max="6926" width="18.42578125" customWidth="1"/>
    <col min="6927" max="6927" width="17" customWidth="1"/>
    <col min="6928" max="6928" width="21.140625" customWidth="1"/>
    <col min="6929" max="6929" width="21" customWidth="1"/>
    <col min="6930" max="6930" width="17.85546875" customWidth="1"/>
    <col min="7169" max="7169" width="16.85546875" customWidth="1"/>
    <col min="7170" max="7170" width="25.42578125" customWidth="1"/>
    <col min="7177" max="7177" width="16.28515625" customWidth="1"/>
    <col min="7178" max="7179" width="16.42578125" customWidth="1"/>
    <col min="7180" max="7180" width="19.85546875" customWidth="1"/>
    <col min="7181" max="7181" width="21.28515625" customWidth="1"/>
    <col min="7182" max="7182" width="18.42578125" customWidth="1"/>
    <col min="7183" max="7183" width="17" customWidth="1"/>
    <col min="7184" max="7184" width="21.140625" customWidth="1"/>
    <col min="7185" max="7185" width="21" customWidth="1"/>
    <col min="7186" max="7186" width="17.85546875" customWidth="1"/>
    <col min="7425" max="7425" width="16.85546875" customWidth="1"/>
    <col min="7426" max="7426" width="25.42578125" customWidth="1"/>
    <col min="7433" max="7433" width="16.28515625" customWidth="1"/>
    <col min="7434" max="7435" width="16.42578125" customWidth="1"/>
    <col min="7436" max="7436" width="19.85546875" customWidth="1"/>
    <col min="7437" max="7437" width="21.28515625" customWidth="1"/>
    <col min="7438" max="7438" width="18.42578125" customWidth="1"/>
    <col min="7439" max="7439" width="17" customWidth="1"/>
    <col min="7440" max="7440" width="21.140625" customWidth="1"/>
    <col min="7441" max="7441" width="21" customWidth="1"/>
    <col min="7442" max="7442" width="17.85546875" customWidth="1"/>
    <col min="7681" max="7681" width="16.85546875" customWidth="1"/>
    <col min="7682" max="7682" width="25.42578125" customWidth="1"/>
    <col min="7689" max="7689" width="16.28515625" customWidth="1"/>
    <col min="7690" max="7691" width="16.42578125" customWidth="1"/>
    <col min="7692" max="7692" width="19.85546875" customWidth="1"/>
    <col min="7693" max="7693" width="21.28515625" customWidth="1"/>
    <col min="7694" max="7694" width="18.42578125" customWidth="1"/>
    <col min="7695" max="7695" width="17" customWidth="1"/>
    <col min="7696" max="7696" width="21.140625" customWidth="1"/>
    <col min="7697" max="7697" width="21" customWidth="1"/>
    <col min="7698" max="7698" width="17.85546875" customWidth="1"/>
    <col min="7937" max="7937" width="16.85546875" customWidth="1"/>
    <col min="7938" max="7938" width="25.42578125" customWidth="1"/>
    <col min="7945" max="7945" width="16.28515625" customWidth="1"/>
    <col min="7946" max="7947" width="16.42578125" customWidth="1"/>
    <col min="7948" max="7948" width="19.85546875" customWidth="1"/>
    <col min="7949" max="7949" width="21.28515625" customWidth="1"/>
    <col min="7950" max="7950" width="18.42578125" customWidth="1"/>
    <col min="7951" max="7951" width="17" customWidth="1"/>
    <col min="7952" max="7952" width="21.140625" customWidth="1"/>
    <col min="7953" max="7953" width="21" customWidth="1"/>
    <col min="7954" max="7954" width="17.85546875" customWidth="1"/>
    <col min="8193" max="8193" width="16.85546875" customWidth="1"/>
    <col min="8194" max="8194" width="25.42578125" customWidth="1"/>
    <col min="8201" max="8201" width="16.28515625" customWidth="1"/>
    <col min="8202" max="8203" width="16.42578125" customWidth="1"/>
    <col min="8204" max="8204" width="19.85546875" customWidth="1"/>
    <col min="8205" max="8205" width="21.28515625" customWidth="1"/>
    <col min="8206" max="8206" width="18.42578125" customWidth="1"/>
    <col min="8207" max="8207" width="17" customWidth="1"/>
    <col min="8208" max="8208" width="21.140625" customWidth="1"/>
    <col min="8209" max="8209" width="21" customWidth="1"/>
    <col min="8210" max="8210" width="17.85546875" customWidth="1"/>
    <col min="8449" max="8449" width="16.85546875" customWidth="1"/>
    <col min="8450" max="8450" width="25.42578125" customWidth="1"/>
    <col min="8457" max="8457" width="16.28515625" customWidth="1"/>
    <col min="8458" max="8459" width="16.42578125" customWidth="1"/>
    <col min="8460" max="8460" width="19.85546875" customWidth="1"/>
    <col min="8461" max="8461" width="21.28515625" customWidth="1"/>
    <col min="8462" max="8462" width="18.42578125" customWidth="1"/>
    <col min="8463" max="8463" width="17" customWidth="1"/>
    <col min="8464" max="8464" width="21.140625" customWidth="1"/>
    <col min="8465" max="8465" width="21" customWidth="1"/>
    <col min="8466" max="8466" width="17.85546875" customWidth="1"/>
    <col min="8705" max="8705" width="16.85546875" customWidth="1"/>
    <col min="8706" max="8706" width="25.42578125" customWidth="1"/>
    <col min="8713" max="8713" width="16.28515625" customWidth="1"/>
    <col min="8714" max="8715" width="16.42578125" customWidth="1"/>
    <col min="8716" max="8716" width="19.85546875" customWidth="1"/>
    <col min="8717" max="8717" width="21.28515625" customWidth="1"/>
    <col min="8718" max="8718" width="18.42578125" customWidth="1"/>
    <col min="8719" max="8719" width="17" customWidth="1"/>
    <col min="8720" max="8720" width="21.140625" customWidth="1"/>
    <col min="8721" max="8721" width="21" customWidth="1"/>
    <col min="8722" max="8722" width="17.85546875" customWidth="1"/>
    <col min="8961" max="8961" width="16.85546875" customWidth="1"/>
    <col min="8962" max="8962" width="25.42578125" customWidth="1"/>
    <col min="8969" max="8969" width="16.28515625" customWidth="1"/>
    <col min="8970" max="8971" width="16.42578125" customWidth="1"/>
    <col min="8972" max="8972" width="19.85546875" customWidth="1"/>
    <col min="8973" max="8973" width="21.28515625" customWidth="1"/>
    <col min="8974" max="8974" width="18.42578125" customWidth="1"/>
    <col min="8975" max="8975" width="17" customWidth="1"/>
    <col min="8976" max="8976" width="21.140625" customWidth="1"/>
    <col min="8977" max="8977" width="21" customWidth="1"/>
    <col min="8978" max="8978" width="17.85546875" customWidth="1"/>
    <col min="9217" max="9217" width="16.85546875" customWidth="1"/>
    <col min="9218" max="9218" width="25.42578125" customWidth="1"/>
    <col min="9225" max="9225" width="16.28515625" customWidth="1"/>
    <col min="9226" max="9227" width="16.42578125" customWidth="1"/>
    <col min="9228" max="9228" width="19.85546875" customWidth="1"/>
    <col min="9229" max="9229" width="21.28515625" customWidth="1"/>
    <col min="9230" max="9230" width="18.42578125" customWidth="1"/>
    <col min="9231" max="9231" width="17" customWidth="1"/>
    <col min="9232" max="9232" width="21.140625" customWidth="1"/>
    <col min="9233" max="9233" width="21" customWidth="1"/>
    <col min="9234" max="9234" width="17.85546875" customWidth="1"/>
    <col min="9473" max="9473" width="16.85546875" customWidth="1"/>
    <col min="9474" max="9474" width="25.42578125" customWidth="1"/>
    <col min="9481" max="9481" width="16.28515625" customWidth="1"/>
    <col min="9482" max="9483" width="16.42578125" customWidth="1"/>
    <col min="9484" max="9484" width="19.85546875" customWidth="1"/>
    <col min="9485" max="9485" width="21.28515625" customWidth="1"/>
    <col min="9486" max="9486" width="18.42578125" customWidth="1"/>
    <col min="9487" max="9487" width="17" customWidth="1"/>
    <col min="9488" max="9488" width="21.140625" customWidth="1"/>
    <col min="9489" max="9489" width="21" customWidth="1"/>
    <col min="9490" max="9490" width="17.85546875" customWidth="1"/>
    <col min="9729" max="9729" width="16.85546875" customWidth="1"/>
    <col min="9730" max="9730" width="25.42578125" customWidth="1"/>
    <col min="9737" max="9737" width="16.28515625" customWidth="1"/>
    <col min="9738" max="9739" width="16.42578125" customWidth="1"/>
    <col min="9740" max="9740" width="19.85546875" customWidth="1"/>
    <col min="9741" max="9741" width="21.28515625" customWidth="1"/>
    <col min="9742" max="9742" width="18.42578125" customWidth="1"/>
    <col min="9743" max="9743" width="17" customWidth="1"/>
    <col min="9744" max="9744" width="21.140625" customWidth="1"/>
    <col min="9745" max="9745" width="21" customWidth="1"/>
    <col min="9746" max="9746" width="17.85546875" customWidth="1"/>
    <col min="9985" max="9985" width="16.85546875" customWidth="1"/>
    <col min="9986" max="9986" width="25.42578125" customWidth="1"/>
    <col min="9993" max="9993" width="16.28515625" customWidth="1"/>
    <col min="9994" max="9995" width="16.42578125" customWidth="1"/>
    <col min="9996" max="9996" width="19.85546875" customWidth="1"/>
    <col min="9997" max="9997" width="21.28515625" customWidth="1"/>
    <col min="9998" max="9998" width="18.42578125" customWidth="1"/>
    <col min="9999" max="9999" width="17" customWidth="1"/>
    <col min="10000" max="10000" width="21.140625" customWidth="1"/>
    <col min="10001" max="10001" width="21" customWidth="1"/>
    <col min="10002" max="10002" width="17.85546875" customWidth="1"/>
    <col min="10241" max="10241" width="16.85546875" customWidth="1"/>
    <col min="10242" max="10242" width="25.42578125" customWidth="1"/>
    <col min="10249" max="10249" width="16.28515625" customWidth="1"/>
    <col min="10250" max="10251" width="16.42578125" customWidth="1"/>
    <col min="10252" max="10252" width="19.85546875" customWidth="1"/>
    <col min="10253" max="10253" width="21.28515625" customWidth="1"/>
    <col min="10254" max="10254" width="18.42578125" customWidth="1"/>
    <col min="10255" max="10255" width="17" customWidth="1"/>
    <col min="10256" max="10256" width="21.140625" customWidth="1"/>
    <col min="10257" max="10257" width="21" customWidth="1"/>
    <col min="10258" max="10258" width="17.85546875" customWidth="1"/>
    <col min="10497" max="10497" width="16.85546875" customWidth="1"/>
    <col min="10498" max="10498" width="25.42578125" customWidth="1"/>
    <col min="10505" max="10505" width="16.28515625" customWidth="1"/>
    <col min="10506" max="10507" width="16.42578125" customWidth="1"/>
    <col min="10508" max="10508" width="19.85546875" customWidth="1"/>
    <col min="10509" max="10509" width="21.28515625" customWidth="1"/>
    <col min="10510" max="10510" width="18.42578125" customWidth="1"/>
    <col min="10511" max="10511" width="17" customWidth="1"/>
    <col min="10512" max="10512" width="21.140625" customWidth="1"/>
    <col min="10513" max="10513" width="21" customWidth="1"/>
    <col min="10514" max="10514" width="17.85546875" customWidth="1"/>
    <col min="10753" max="10753" width="16.85546875" customWidth="1"/>
    <col min="10754" max="10754" width="25.42578125" customWidth="1"/>
    <col min="10761" max="10761" width="16.28515625" customWidth="1"/>
    <col min="10762" max="10763" width="16.42578125" customWidth="1"/>
    <col min="10764" max="10764" width="19.85546875" customWidth="1"/>
    <col min="10765" max="10765" width="21.28515625" customWidth="1"/>
    <col min="10766" max="10766" width="18.42578125" customWidth="1"/>
    <col min="10767" max="10767" width="17" customWidth="1"/>
    <col min="10768" max="10768" width="21.140625" customWidth="1"/>
    <col min="10769" max="10769" width="21" customWidth="1"/>
    <col min="10770" max="10770" width="17.85546875" customWidth="1"/>
    <col min="11009" max="11009" width="16.85546875" customWidth="1"/>
    <col min="11010" max="11010" width="25.42578125" customWidth="1"/>
    <col min="11017" max="11017" width="16.28515625" customWidth="1"/>
    <col min="11018" max="11019" width="16.42578125" customWidth="1"/>
    <col min="11020" max="11020" width="19.85546875" customWidth="1"/>
    <col min="11021" max="11021" width="21.28515625" customWidth="1"/>
    <col min="11022" max="11022" width="18.42578125" customWidth="1"/>
    <col min="11023" max="11023" width="17" customWidth="1"/>
    <col min="11024" max="11024" width="21.140625" customWidth="1"/>
    <col min="11025" max="11025" width="21" customWidth="1"/>
    <col min="11026" max="11026" width="17.85546875" customWidth="1"/>
    <col min="11265" max="11265" width="16.85546875" customWidth="1"/>
    <col min="11266" max="11266" width="25.42578125" customWidth="1"/>
    <col min="11273" max="11273" width="16.28515625" customWidth="1"/>
    <col min="11274" max="11275" width="16.42578125" customWidth="1"/>
    <col min="11276" max="11276" width="19.85546875" customWidth="1"/>
    <col min="11277" max="11277" width="21.28515625" customWidth="1"/>
    <col min="11278" max="11278" width="18.42578125" customWidth="1"/>
    <col min="11279" max="11279" width="17" customWidth="1"/>
    <col min="11280" max="11280" width="21.140625" customWidth="1"/>
    <col min="11281" max="11281" width="21" customWidth="1"/>
    <col min="11282" max="11282" width="17.85546875" customWidth="1"/>
    <col min="11521" max="11521" width="16.85546875" customWidth="1"/>
    <col min="11522" max="11522" width="25.42578125" customWidth="1"/>
    <col min="11529" max="11529" width="16.28515625" customWidth="1"/>
    <col min="11530" max="11531" width="16.42578125" customWidth="1"/>
    <col min="11532" max="11532" width="19.85546875" customWidth="1"/>
    <col min="11533" max="11533" width="21.28515625" customWidth="1"/>
    <col min="11534" max="11534" width="18.42578125" customWidth="1"/>
    <col min="11535" max="11535" width="17" customWidth="1"/>
    <col min="11536" max="11536" width="21.140625" customWidth="1"/>
    <col min="11537" max="11537" width="21" customWidth="1"/>
    <col min="11538" max="11538" width="17.85546875" customWidth="1"/>
    <col min="11777" max="11777" width="16.85546875" customWidth="1"/>
    <col min="11778" max="11778" width="25.42578125" customWidth="1"/>
    <col min="11785" max="11785" width="16.28515625" customWidth="1"/>
    <col min="11786" max="11787" width="16.42578125" customWidth="1"/>
    <col min="11788" max="11788" width="19.85546875" customWidth="1"/>
    <col min="11789" max="11789" width="21.28515625" customWidth="1"/>
    <col min="11790" max="11790" width="18.42578125" customWidth="1"/>
    <col min="11791" max="11791" width="17" customWidth="1"/>
    <col min="11792" max="11792" width="21.140625" customWidth="1"/>
    <col min="11793" max="11793" width="21" customWidth="1"/>
    <col min="11794" max="11794" width="17.85546875" customWidth="1"/>
    <col min="12033" max="12033" width="16.85546875" customWidth="1"/>
    <col min="12034" max="12034" width="25.42578125" customWidth="1"/>
    <col min="12041" max="12041" width="16.28515625" customWidth="1"/>
    <col min="12042" max="12043" width="16.42578125" customWidth="1"/>
    <col min="12044" max="12044" width="19.85546875" customWidth="1"/>
    <col min="12045" max="12045" width="21.28515625" customWidth="1"/>
    <col min="12046" max="12046" width="18.42578125" customWidth="1"/>
    <col min="12047" max="12047" width="17" customWidth="1"/>
    <col min="12048" max="12048" width="21.140625" customWidth="1"/>
    <col min="12049" max="12049" width="21" customWidth="1"/>
    <col min="12050" max="12050" width="17.85546875" customWidth="1"/>
    <col min="12289" max="12289" width="16.85546875" customWidth="1"/>
    <col min="12290" max="12290" width="25.42578125" customWidth="1"/>
    <col min="12297" max="12297" width="16.28515625" customWidth="1"/>
    <col min="12298" max="12299" width="16.42578125" customWidth="1"/>
    <col min="12300" max="12300" width="19.85546875" customWidth="1"/>
    <col min="12301" max="12301" width="21.28515625" customWidth="1"/>
    <col min="12302" max="12302" width="18.42578125" customWidth="1"/>
    <col min="12303" max="12303" width="17" customWidth="1"/>
    <col min="12304" max="12304" width="21.140625" customWidth="1"/>
    <col min="12305" max="12305" width="21" customWidth="1"/>
    <col min="12306" max="12306" width="17.85546875" customWidth="1"/>
    <col min="12545" max="12545" width="16.85546875" customWidth="1"/>
    <col min="12546" max="12546" width="25.42578125" customWidth="1"/>
    <col min="12553" max="12553" width="16.28515625" customWidth="1"/>
    <col min="12554" max="12555" width="16.42578125" customWidth="1"/>
    <col min="12556" max="12556" width="19.85546875" customWidth="1"/>
    <col min="12557" max="12557" width="21.28515625" customWidth="1"/>
    <col min="12558" max="12558" width="18.42578125" customWidth="1"/>
    <col min="12559" max="12559" width="17" customWidth="1"/>
    <col min="12560" max="12560" width="21.140625" customWidth="1"/>
    <col min="12561" max="12561" width="21" customWidth="1"/>
    <col min="12562" max="12562" width="17.85546875" customWidth="1"/>
    <col min="12801" max="12801" width="16.85546875" customWidth="1"/>
    <col min="12802" max="12802" width="25.42578125" customWidth="1"/>
    <col min="12809" max="12809" width="16.28515625" customWidth="1"/>
    <col min="12810" max="12811" width="16.42578125" customWidth="1"/>
    <col min="12812" max="12812" width="19.85546875" customWidth="1"/>
    <col min="12813" max="12813" width="21.28515625" customWidth="1"/>
    <col min="12814" max="12814" width="18.42578125" customWidth="1"/>
    <col min="12815" max="12815" width="17" customWidth="1"/>
    <col min="12816" max="12816" width="21.140625" customWidth="1"/>
    <col min="12817" max="12817" width="21" customWidth="1"/>
    <col min="12818" max="12818" width="17.85546875" customWidth="1"/>
    <col min="13057" max="13057" width="16.85546875" customWidth="1"/>
    <col min="13058" max="13058" width="25.42578125" customWidth="1"/>
    <col min="13065" max="13065" width="16.28515625" customWidth="1"/>
    <col min="13066" max="13067" width="16.42578125" customWidth="1"/>
    <col min="13068" max="13068" width="19.85546875" customWidth="1"/>
    <col min="13069" max="13069" width="21.28515625" customWidth="1"/>
    <col min="13070" max="13070" width="18.42578125" customWidth="1"/>
    <col min="13071" max="13071" width="17" customWidth="1"/>
    <col min="13072" max="13072" width="21.140625" customWidth="1"/>
    <col min="13073" max="13073" width="21" customWidth="1"/>
    <col min="13074" max="13074" width="17.85546875" customWidth="1"/>
    <col min="13313" max="13313" width="16.85546875" customWidth="1"/>
    <col min="13314" max="13314" width="25.42578125" customWidth="1"/>
    <col min="13321" max="13321" width="16.28515625" customWidth="1"/>
    <col min="13322" max="13323" width="16.42578125" customWidth="1"/>
    <col min="13324" max="13324" width="19.85546875" customWidth="1"/>
    <col min="13325" max="13325" width="21.28515625" customWidth="1"/>
    <col min="13326" max="13326" width="18.42578125" customWidth="1"/>
    <col min="13327" max="13327" width="17" customWidth="1"/>
    <col min="13328" max="13328" width="21.140625" customWidth="1"/>
    <col min="13329" max="13329" width="21" customWidth="1"/>
    <col min="13330" max="13330" width="17.85546875" customWidth="1"/>
    <col min="13569" max="13569" width="16.85546875" customWidth="1"/>
    <col min="13570" max="13570" width="25.42578125" customWidth="1"/>
    <col min="13577" max="13577" width="16.28515625" customWidth="1"/>
    <col min="13578" max="13579" width="16.42578125" customWidth="1"/>
    <col min="13580" max="13580" width="19.85546875" customWidth="1"/>
    <col min="13581" max="13581" width="21.28515625" customWidth="1"/>
    <col min="13582" max="13582" width="18.42578125" customWidth="1"/>
    <col min="13583" max="13583" width="17" customWidth="1"/>
    <col min="13584" max="13584" width="21.140625" customWidth="1"/>
    <col min="13585" max="13585" width="21" customWidth="1"/>
    <col min="13586" max="13586" width="17.85546875" customWidth="1"/>
    <col min="13825" max="13825" width="16.85546875" customWidth="1"/>
    <col min="13826" max="13826" width="25.42578125" customWidth="1"/>
    <col min="13833" max="13833" width="16.28515625" customWidth="1"/>
    <col min="13834" max="13835" width="16.42578125" customWidth="1"/>
    <col min="13836" max="13836" width="19.85546875" customWidth="1"/>
    <col min="13837" max="13837" width="21.28515625" customWidth="1"/>
    <col min="13838" max="13838" width="18.42578125" customWidth="1"/>
    <col min="13839" max="13839" width="17" customWidth="1"/>
    <col min="13840" max="13840" width="21.140625" customWidth="1"/>
    <col min="13841" max="13841" width="21" customWidth="1"/>
    <col min="13842" max="13842" width="17.85546875" customWidth="1"/>
    <col min="14081" max="14081" width="16.85546875" customWidth="1"/>
    <col min="14082" max="14082" width="25.42578125" customWidth="1"/>
    <col min="14089" max="14089" width="16.28515625" customWidth="1"/>
    <col min="14090" max="14091" width="16.42578125" customWidth="1"/>
    <col min="14092" max="14092" width="19.85546875" customWidth="1"/>
    <col min="14093" max="14093" width="21.28515625" customWidth="1"/>
    <col min="14094" max="14094" width="18.42578125" customWidth="1"/>
    <col min="14095" max="14095" width="17" customWidth="1"/>
    <col min="14096" max="14096" width="21.140625" customWidth="1"/>
    <col min="14097" max="14097" width="21" customWidth="1"/>
    <col min="14098" max="14098" width="17.85546875" customWidth="1"/>
    <col min="14337" max="14337" width="16.85546875" customWidth="1"/>
    <col min="14338" max="14338" width="25.42578125" customWidth="1"/>
    <col min="14345" max="14345" width="16.28515625" customWidth="1"/>
    <col min="14346" max="14347" width="16.42578125" customWidth="1"/>
    <col min="14348" max="14348" width="19.85546875" customWidth="1"/>
    <col min="14349" max="14349" width="21.28515625" customWidth="1"/>
    <col min="14350" max="14350" width="18.42578125" customWidth="1"/>
    <col min="14351" max="14351" width="17" customWidth="1"/>
    <col min="14352" max="14352" width="21.140625" customWidth="1"/>
    <col min="14353" max="14353" width="21" customWidth="1"/>
    <col min="14354" max="14354" width="17.85546875" customWidth="1"/>
    <col min="14593" max="14593" width="16.85546875" customWidth="1"/>
    <col min="14594" max="14594" width="25.42578125" customWidth="1"/>
    <col min="14601" max="14601" width="16.28515625" customWidth="1"/>
    <col min="14602" max="14603" width="16.42578125" customWidth="1"/>
    <col min="14604" max="14604" width="19.85546875" customWidth="1"/>
    <col min="14605" max="14605" width="21.28515625" customWidth="1"/>
    <col min="14606" max="14606" width="18.42578125" customWidth="1"/>
    <col min="14607" max="14607" width="17" customWidth="1"/>
    <col min="14608" max="14608" width="21.140625" customWidth="1"/>
    <col min="14609" max="14609" width="21" customWidth="1"/>
    <col min="14610" max="14610" width="17.85546875" customWidth="1"/>
    <col min="14849" max="14849" width="16.85546875" customWidth="1"/>
    <col min="14850" max="14850" width="25.42578125" customWidth="1"/>
    <col min="14857" max="14857" width="16.28515625" customWidth="1"/>
    <col min="14858" max="14859" width="16.42578125" customWidth="1"/>
    <col min="14860" max="14860" width="19.85546875" customWidth="1"/>
    <col min="14861" max="14861" width="21.28515625" customWidth="1"/>
    <col min="14862" max="14862" width="18.42578125" customWidth="1"/>
    <col min="14863" max="14863" width="17" customWidth="1"/>
    <col min="14864" max="14864" width="21.140625" customWidth="1"/>
    <col min="14865" max="14865" width="21" customWidth="1"/>
    <col min="14866" max="14866" width="17.85546875" customWidth="1"/>
    <col min="15105" max="15105" width="16.85546875" customWidth="1"/>
    <col min="15106" max="15106" width="25.42578125" customWidth="1"/>
    <col min="15113" max="15113" width="16.28515625" customWidth="1"/>
    <col min="15114" max="15115" width="16.42578125" customWidth="1"/>
    <col min="15116" max="15116" width="19.85546875" customWidth="1"/>
    <col min="15117" max="15117" width="21.28515625" customWidth="1"/>
    <col min="15118" max="15118" width="18.42578125" customWidth="1"/>
    <col min="15119" max="15119" width="17" customWidth="1"/>
    <col min="15120" max="15120" width="21.140625" customWidth="1"/>
    <col min="15121" max="15121" width="21" customWidth="1"/>
    <col min="15122" max="15122" width="17.85546875" customWidth="1"/>
    <col min="15361" max="15361" width="16.85546875" customWidth="1"/>
    <col min="15362" max="15362" width="25.42578125" customWidth="1"/>
    <col min="15369" max="15369" width="16.28515625" customWidth="1"/>
    <col min="15370" max="15371" width="16.42578125" customWidth="1"/>
    <col min="15372" max="15372" width="19.85546875" customWidth="1"/>
    <col min="15373" max="15373" width="21.28515625" customWidth="1"/>
    <col min="15374" max="15374" width="18.42578125" customWidth="1"/>
    <col min="15375" max="15375" width="17" customWidth="1"/>
    <col min="15376" max="15376" width="21.140625" customWidth="1"/>
    <col min="15377" max="15377" width="21" customWidth="1"/>
    <col min="15378" max="15378" width="17.85546875" customWidth="1"/>
    <col min="15617" max="15617" width="16.85546875" customWidth="1"/>
    <col min="15618" max="15618" width="25.42578125" customWidth="1"/>
    <col min="15625" max="15625" width="16.28515625" customWidth="1"/>
    <col min="15626" max="15627" width="16.42578125" customWidth="1"/>
    <col min="15628" max="15628" width="19.85546875" customWidth="1"/>
    <col min="15629" max="15629" width="21.28515625" customWidth="1"/>
    <col min="15630" max="15630" width="18.42578125" customWidth="1"/>
    <col min="15631" max="15631" width="17" customWidth="1"/>
    <col min="15632" max="15632" width="21.140625" customWidth="1"/>
    <col min="15633" max="15633" width="21" customWidth="1"/>
    <col min="15634" max="15634" width="17.85546875" customWidth="1"/>
    <col min="15873" max="15873" width="16.85546875" customWidth="1"/>
    <col min="15874" max="15874" width="25.42578125" customWidth="1"/>
    <col min="15881" max="15881" width="16.28515625" customWidth="1"/>
    <col min="15882" max="15883" width="16.42578125" customWidth="1"/>
    <col min="15884" max="15884" width="19.85546875" customWidth="1"/>
    <col min="15885" max="15885" width="21.28515625" customWidth="1"/>
    <col min="15886" max="15886" width="18.42578125" customWidth="1"/>
    <col min="15887" max="15887" width="17" customWidth="1"/>
    <col min="15888" max="15888" width="21.140625" customWidth="1"/>
    <col min="15889" max="15889" width="21" customWidth="1"/>
    <col min="15890" max="15890" width="17.85546875" customWidth="1"/>
    <col min="16129" max="16129" width="16.85546875" customWidth="1"/>
    <col min="16130" max="16130" width="25.42578125" customWidth="1"/>
    <col min="16137" max="16137" width="16.28515625" customWidth="1"/>
    <col min="16138" max="16139" width="16.42578125" customWidth="1"/>
    <col min="16140" max="16140" width="19.85546875" customWidth="1"/>
    <col min="16141" max="16141" width="21.28515625" customWidth="1"/>
    <col min="16142" max="16142" width="18.42578125" customWidth="1"/>
    <col min="16143" max="16143" width="17" customWidth="1"/>
    <col min="16144" max="16144" width="21.140625" customWidth="1"/>
    <col min="16145" max="16145" width="21" customWidth="1"/>
    <col min="16146" max="16146" width="17.85546875" customWidth="1"/>
  </cols>
  <sheetData>
    <row r="1" spans="1:18" ht="18.75" thickBot="1" x14ac:dyDescent="0.3">
      <c r="A1" s="1" t="s">
        <v>63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</row>
    <row r="2" spans="1:18" ht="39" customHeight="1" thickBot="1" x14ac:dyDescent="0.3">
      <c r="A2" s="3" t="s">
        <v>0</v>
      </c>
      <c r="B2" s="3" t="s">
        <v>1</v>
      </c>
      <c r="C2" s="4" t="s">
        <v>2</v>
      </c>
      <c r="D2" s="5"/>
      <c r="E2" s="5"/>
      <c r="F2" s="5"/>
      <c r="G2" s="5"/>
      <c r="H2" s="6"/>
      <c r="I2" s="7" t="s">
        <v>3</v>
      </c>
      <c r="J2" s="8" t="s">
        <v>4</v>
      </c>
      <c r="K2" s="8" t="s">
        <v>5</v>
      </c>
      <c r="L2" s="7" t="s">
        <v>6</v>
      </c>
      <c r="M2" s="7" t="s">
        <v>7</v>
      </c>
      <c r="N2" s="7" t="s">
        <v>8</v>
      </c>
      <c r="O2" s="7" t="s">
        <v>9</v>
      </c>
      <c r="P2" s="9" t="s">
        <v>10</v>
      </c>
      <c r="Q2" s="7" t="s">
        <v>11</v>
      </c>
      <c r="R2" s="7" t="s">
        <v>12</v>
      </c>
    </row>
    <row r="3" spans="1:18" ht="56.25" customHeight="1" thickBot="1" x14ac:dyDescent="0.3">
      <c r="A3" s="10"/>
      <c r="B3" s="10"/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2" t="s">
        <v>18</v>
      </c>
      <c r="I3" s="13"/>
      <c r="J3" s="14"/>
      <c r="K3" s="14"/>
      <c r="L3" s="13"/>
      <c r="M3" s="13"/>
      <c r="N3" s="13"/>
      <c r="O3" s="13"/>
      <c r="P3" s="15"/>
      <c r="Q3" s="13"/>
      <c r="R3" s="13"/>
    </row>
    <row r="4" spans="1:18" ht="33" customHeight="1" x14ac:dyDescent="0.25">
      <c r="A4" s="16" t="s">
        <v>19</v>
      </c>
      <c r="B4" s="17" t="s">
        <v>20</v>
      </c>
      <c r="C4" s="18">
        <v>3.5978600000000007</v>
      </c>
      <c r="D4" s="18">
        <v>3.2000000000000002E-3</v>
      </c>
      <c r="E4" s="19">
        <v>0</v>
      </c>
      <c r="F4" s="19">
        <v>0</v>
      </c>
      <c r="G4" s="18">
        <v>0.37580999999999998</v>
      </c>
      <c r="H4" s="20">
        <f>SUM(C4:G4)</f>
        <v>3.9768700000000008</v>
      </c>
      <c r="I4" s="21">
        <f>(298.01+53.84+17.98)/744</f>
        <v>0.49708333333333338</v>
      </c>
      <c r="J4" s="22">
        <f>128.41/744</f>
        <v>0.17259408602150536</v>
      </c>
      <c r="K4" s="23">
        <v>0</v>
      </c>
      <c r="L4" s="24">
        <f>H4+I4+J4</f>
        <v>4.6465474193548397</v>
      </c>
      <c r="M4" s="25">
        <f>2.368+2.435+2.178</f>
        <v>6.9809999999999999</v>
      </c>
      <c r="N4" s="26">
        <f>Q4-L4</f>
        <v>2.0734525806451609</v>
      </c>
      <c r="O4" s="27">
        <f>N4</f>
        <v>2.0734525806451609</v>
      </c>
      <c r="P4" s="28">
        <f>M4*365*24</f>
        <v>61153.56</v>
      </c>
      <c r="Q4" s="29">
        <f>2.24*3</f>
        <v>6.7200000000000006</v>
      </c>
      <c r="R4" s="30">
        <f>L4/M4*100</f>
        <v>66.559911464759196</v>
      </c>
    </row>
    <row r="5" spans="1:18" x14ac:dyDescent="0.25">
      <c r="A5" s="31" t="s">
        <v>21</v>
      </c>
      <c r="B5" s="32" t="s">
        <v>22</v>
      </c>
      <c r="C5" s="33">
        <v>0.34899999999999998</v>
      </c>
      <c r="D5" s="33">
        <v>0</v>
      </c>
      <c r="E5" s="34">
        <v>0</v>
      </c>
      <c r="F5" s="34">
        <v>0</v>
      </c>
      <c r="G5" s="33">
        <v>7.4999999999999997E-3</v>
      </c>
      <c r="H5" s="35">
        <f t="shared" ref="H5:H24" si="0">SUM(C5:G5)</f>
        <v>0.35649999999999998</v>
      </c>
      <c r="I5" s="21">
        <f>(41.2+1.61)/744</f>
        <v>5.7540322580645162E-2</v>
      </c>
      <c r="J5" s="36">
        <f>10.07/744</f>
        <v>1.3534946236559139E-2</v>
      </c>
      <c r="K5" s="37">
        <v>0</v>
      </c>
      <c r="L5" s="38">
        <f t="shared" ref="L5:L21" si="1">H5+I5+J5</f>
        <v>0.42757526881720431</v>
      </c>
      <c r="M5" s="39">
        <f>0.085+0.452+0.417</f>
        <v>0.95399999999999996</v>
      </c>
      <c r="N5" s="40">
        <f t="shared" ref="N5:N24" si="2">Q5-L5</f>
        <v>0.73742473118279572</v>
      </c>
      <c r="O5" s="41">
        <f t="shared" ref="O5:O21" si="3">N5</f>
        <v>0.73742473118279572</v>
      </c>
      <c r="P5" s="42">
        <f t="shared" ref="P5:P24" si="4">M5*365*24</f>
        <v>8357.0399999999991</v>
      </c>
      <c r="Q5" s="43">
        <v>1.165</v>
      </c>
      <c r="R5" s="44">
        <f t="shared" ref="R5:R25" si="5">L5/M5*100</f>
        <v>44.819210567841125</v>
      </c>
    </row>
    <row r="6" spans="1:18" x14ac:dyDescent="0.25">
      <c r="A6" s="31" t="s">
        <v>23</v>
      </c>
      <c r="B6" s="32" t="s">
        <v>24</v>
      </c>
      <c r="C6" s="33">
        <v>0.71088000000000029</v>
      </c>
      <c r="D6" s="33">
        <v>0</v>
      </c>
      <c r="E6" s="34">
        <v>0</v>
      </c>
      <c r="F6" s="34">
        <v>0</v>
      </c>
      <c r="G6" s="33">
        <v>1.259E-2</v>
      </c>
      <c r="H6" s="35">
        <f t="shared" si="0"/>
        <v>0.72347000000000028</v>
      </c>
      <c r="I6" s="21">
        <f>(100.18+3.29)/744</f>
        <v>0.13907258064516131</v>
      </c>
      <c r="J6" s="36">
        <f>11.41/744</f>
        <v>1.5336021505376345E-2</v>
      </c>
      <c r="K6" s="37">
        <v>0</v>
      </c>
      <c r="L6" s="38">
        <f t="shared" si="1"/>
        <v>0.87787860215053803</v>
      </c>
      <c r="M6" s="39">
        <f>0.4+0.29+0.288</f>
        <v>0.97799999999999998</v>
      </c>
      <c r="N6" s="40">
        <f t="shared" si="2"/>
        <v>7.0121397849461919E-2</v>
      </c>
      <c r="O6" s="41">
        <f t="shared" si="3"/>
        <v>7.0121397849461919E-2</v>
      </c>
      <c r="P6" s="42">
        <f t="shared" si="4"/>
        <v>8567.2799999999988</v>
      </c>
      <c r="Q6" s="43">
        <v>0.94799999999999995</v>
      </c>
      <c r="R6" s="44">
        <f t="shared" si="5"/>
        <v>89.762638256701237</v>
      </c>
    </row>
    <row r="7" spans="1:18" x14ac:dyDescent="0.25">
      <c r="A7" s="31" t="s">
        <v>25</v>
      </c>
      <c r="B7" s="32" t="s">
        <v>26</v>
      </c>
      <c r="C7" s="33">
        <v>0.36099999999999999</v>
      </c>
      <c r="D7" s="33">
        <v>0</v>
      </c>
      <c r="E7" s="34">
        <v>0</v>
      </c>
      <c r="F7" s="34">
        <v>0</v>
      </c>
      <c r="G7" s="33">
        <v>6.3300000000000006E-3</v>
      </c>
      <c r="H7" s="35">
        <f t="shared" si="0"/>
        <v>0.36732999999999999</v>
      </c>
      <c r="I7" s="21">
        <f>(10.32+1.46)/744</f>
        <v>1.5833333333333335E-2</v>
      </c>
      <c r="J7" s="36">
        <f>12.75/744</f>
        <v>1.7137096774193547E-2</v>
      </c>
      <c r="K7" s="37">
        <v>0</v>
      </c>
      <c r="L7" s="38">
        <f t="shared" si="1"/>
        <v>0.40030043010752686</v>
      </c>
      <c r="M7" s="39">
        <f>0.3+0.297+0.154</f>
        <v>0.751</v>
      </c>
      <c r="N7" s="40">
        <f t="shared" si="2"/>
        <v>0.26879956989247317</v>
      </c>
      <c r="O7" s="41">
        <f t="shared" si="3"/>
        <v>0.26879956989247317</v>
      </c>
      <c r="P7" s="42">
        <f t="shared" si="4"/>
        <v>6578.76</v>
      </c>
      <c r="Q7" s="43">
        <v>0.66910000000000003</v>
      </c>
      <c r="R7" s="44">
        <f t="shared" si="5"/>
        <v>53.302320919777216</v>
      </c>
    </row>
    <row r="8" spans="1:18" ht="15" customHeight="1" x14ac:dyDescent="0.25">
      <c r="A8" s="31" t="s">
        <v>27</v>
      </c>
      <c r="B8" s="45" t="s">
        <v>28</v>
      </c>
      <c r="C8" s="33">
        <v>0.38644000000000001</v>
      </c>
      <c r="D8" s="33">
        <v>0.01</v>
      </c>
      <c r="E8" s="34">
        <v>0</v>
      </c>
      <c r="F8" s="34">
        <v>0</v>
      </c>
      <c r="G8" s="33">
        <v>2.1250000000000002E-2</v>
      </c>
      <c r="H8" s="35">
        <f t="shared" si="0"/>
        <v>0.41769000000000001</v>
      </c>
      <c r="I8" s="21">
        <f>(107.68+1.81)/744</f>
        <v>0.14716397849462368</v>
      </c>
      <c r="J8" s="36">
        <f>20.96/744</f>
        <v>2.8172043010752688E-2</v>
      </c>
      <c r="K8" s="37">
        <v>0</v>
      </c>
      <c r="L8" s="38">
        <f t="shared" si="1"/>
        <v>0.59302602150537642</v>
      </c>
      <c r="M8" s="39">
        <f>0.35+0.268+0.262</f>
        <v>0.88</v>
      </c>
      <c r="N8" s="40">
        <f t="shared" si="2"/>
        <v>0.35497397849462353</v>
      </c>
      <c r="O8" s="41">
        <f t="shared" si="3"/>
        <v>0.35497397849462353</v>
      </c>
      <c r="P8" s="46">
        <f t="shared" si="4"/>
        <v>7708.7999999999993</v>
      </c>
      <c r="Q8" s="43">
        <v>0.94799999999999995</v>
      </c>
      <c r="R8" s="44">
        <f t="shared" si="5"/>
        <v>67.389320625610964</v>
      </c>
    </row>
    <row r="9" spans="1:18" x14ac:dyDescent="0.25">
      <c r="A9" s="31" t="s">
        <v>29</v>
      </c>
      <c r="B9" s="45" t="s">
        <v>30</v>
      </c>
      <c r="C9" s="33">
        <v>1.2936300000000001</v>
      </c>
      <c r="D9" s="33">
        <v>2.0499999999999997E-2</v>
      </c>
      <c r="E9" s="34">
        <v>0</v>
      </c>
      <c r="F9" s="34">
        <v>0</v>
      </c>
      <c r="G9" s="33">
        <v>0.14544000000000001</v>
      </c>
      <c r="H9" s="35">
        <f t="shared" si="0"/>
        <v>1.45957</v>
      </c>
      <c r="I9" s="21">
        <f>(31.18+6.04)/744</f>
        <v>5.0026881720430107E-2</v>
      </c>
      <c r="J9" s="36">
        <f>24.45/744</f>
        <v>3.2862903225806449E-2</v>
      </c>
      <c r="K9" s="37">
        <v>0</v>
      </c>
      <c r="L9" s="38">
        <f t="shared" si="1"/>
        <v>1.5424597849462367</v>
      </c>
      <c r="M9" s="47">
        <v>1.72</v>
      </c>
      <c r="N9" s="40">
        <f t="shared" si="2"/>
        <v>0.17754021505376327</v>
      </c>
      <c r="O9" s="41">
        <f t="shared" si="3"/>
        <v>0.17754021505376327</v>
      </c>
      <c r="P9" s="46">
        <f t="shared" si="4"/>
        <v>15067.199999999999</v>
      </c>
      <c r="Q9" s="43">
        <v>1.72</v>
      </c>
      <c r="R9" s="44">
        <f t="shared" si="5"/>
        <v>89.677894473618409</v>
      </c>
    </row>
    <row r="10" spans="1:18" x14ac:dyDescent="0.25">
      <c r="A10" s="31" t="s">
        <v>31</v>
      </c>
      <c r="B10" s="45" t="s">
        <v>32</v>
      </c>
      <c r="C10" s="33">
        <v>2.1968999999999999</v>
      </c>
      <c r="D10" s="33">
        <v>4.5999999999999999E-3</v>
      </c>
      <c r="E10" s="33">
        <v>1.2E-2</v>
      </c>
      <c r="F10" s="34">
        <v>0</v>
      </c>
      <c r="G10" s="33">
        <v>0.17810000000000001</v>
      </c>
      <c r="H10" s="35">
        <f t="shared" si="0"/>
        <v>2.3915999999999999</v>
      </c>
      <c r="I10" s="21">
        <f>(45.82+12.45)/744</f>
        <v>7.8319892473118269E-2</v>
      </c>
      <c r="J10" s="36">
        <f>49.58/744</f>
        <v>6.6639784946236555E-2</v>
      </c>
      <c r="K10" s="37">
        <v>0</v>
      </c>
      <c r="L10" s="38">
        <f t="shared" si="1"/>
        <v>2.5365596774193544</v>
      </c>
      <c r="M10" s="39">
        <f>2.697+2.697</f>
        <v>5.3940000000000001</v>
      </c>
      <c r="N10" s="48">
        <f>2.697+2.697-L10</f>
        <v>2.8574403225806457</v>
      </c>
      <c r="O10" s="41">
        <f t="shared" si="3"/>
        <v>2.8574403225806457</v>
      </c>
      <c r="P10" s="46">
        <f t="shared" si="4"/>
        <v>47251.44</v>
      </c>
      <c r="Q10" s="43">
        <v>8</v>
      </c>
      <c r="R10" s="44">
        <f t="shared" si="5"/>
        <v>47.025578001841943</v>
      </c>
    </row>
    <row r="11" spans="1:18" x14ac:dyDescent="0.25">
      <c r="A11" s="31" t="s">
        <v>33</v>
      </c>
      <c r="B11" s="45" t="s">
        <v>34</v>
      </c>
      <c r="C11" s="33">
        <v>15.880480000000002</v>
      </c>
      <c r="D11" s="33">
        <v>0</v>
      </c>
      <c r="E11" s="34">
        <v>0</v>
      </c>
      <c r="F11" s="34">
        <v>0</v>
      </c>
      <c r="G11" s="33">
        <v>0</v>
      </c>
      <c r="H11" s="35">
        <f t="shared" si="0"/>
        <v>15.880480000000002</v>
      </c>
      <c r="I11" s="21">
        <f>(1105.91+3.81+77.55)/744</f>
        <v>1.5957930107526881</v>
      </c>
      <c r="J11" s="36">
        <f>114.1/744</f>
        <v>0.15336021505376343</v>
      </c>
      <c r="K11" s="36">
        <v>8.1449999999999995E-3</v>
      </c>
      <c r="L11" s="38">
        <f>H11+I11+J11+K11</f>
        <v>17.637778225806453</v>
      </c>
      <c r="M11" s="39">
        <f>1.804+3.559+3.846+3.706+7.247</f>
        <v>20.161999999999999</v>
      </c>
      <c r="N11" s="48">
        <f>1.804+3.559+3.846+3.706+7.247-L11</f>
        <v>2.5242217741935455</v>
      </c>
      <c r="O11" s="41">
        <f>N11-0.4401</f>
        <v>2.0841217741935454</v>
      </c>
      <c r="P11" s="46">
        <f t="shared" si="4"/>
        <v>176619.12</v>
      </c>
      <c r="Q11" s="43">
        <v>21.9</v>
      </c>
      <c r="R11" s="44">
        <f t="shared" si="5"/>
        <v>87.4803006934156</v>
      </c>
    </row>
    <row r="12" spans="1:18" ht="22.5" x14ac:dyDescent="0.25">
      <c r="A12" s="31" t="s">
        <v>35</v>
      </c>
      <c r="B12" s="45" t="s">
        <v>36</v>
      </c>
      <c r="C12" s="33">
        <v>0.63701000000000008</v>
      </c>
      <c r="D12" s="33">
        <v>0</v>
      </c>
      <c r="E12" s="34">
        <v>0</v>
      </c>
      <c r="F12" s="34">
        <v>0</v>
      </c>
      <c r="G12" s="33">
        <v>2.5590000000000002E-2</v>
      </c>
      <c r="H12" s="35">
        <f t="shared" si="0"/>
        <v>0.66260000000000008</v>
      </c>
      <c r="I12" s="21">
        <f>(46.69+2.66)/744</f>
        <v>6.6330645161290308E-2</v>
      </c>
      <c r="J12" s="36">
        <f>20.76/744</f>
        <v>2.7903225806451614E-2</v>
      </c>
      <c r="K12" s="37">
        <v>0</v>
      </c>
      <c r="L12" s="38">
        <f t="shared" si="1"/>
        <v>0.75683387096774202</v>
      </c>
      <c r="M12" s="39">
        <f>0.184+0.184+0.154+0.166</f>
        <v>0.68800000000000006</v>
      </c>
      <c r="N12" s="40">
        <f t="shared" si="2"/>
        <v>-3.3870967741989055E-5</v>
      </c>
      <c r="O12" s="49" t="s">
        <v>37</v>
      </c>
      <c r="P12" s="46">
        <f t="shared" si="4"/>
        <v>6026.880000000001</v>
      </c>
      <c r="Q12" s="43">
        <v>0.75680000000000003</v>
      </c>
      <c r="R12" s="44">
        <f t="shared" si="5"/>
        <v>110.00492310577646</v>
      </c>
    </row>
    <row r="13" spans="1:18" ht="33.75" x14ac:dyDescent="0.25">
      <c r="A13" s="31" t="s">
        <v>38</v>
      </c>
      <c r="B13" s="45" t="s">
        <v>39</v>
      </c>
      <c r="C13" s="33">
        <v>0.21560000000000001</v>
      </c>
      <c r="D13" s="33">
        <v>5.4000000000000003E-3</v>
      </c>
      <c r="E13" s="34">
        <v>0</v>
      </c>
      <c r="F13" s="34">
        <v>0</v>
      </c>
      <c r="G13" s="33">
        <v>8.0000000000000002E-3</v>
      </c>
      <c r="H13" s="35">
        <f t="shared" si="0"/>
        <v>0.22900000000000001</v>
      </c>
      <c r="I13" s="21">
        <f>(20.22+1.01)/744</f>
        <v>2.8534946236559139E-2</v>
      </c>
      <c r="J13" s="36">
        <f>9.71/744</f>
        <v>1.3051075268817205E-2</v>
      </c>
      <c r="K13" s="37">
        <v>0</v>
      </c>
      <c r="L13" s="38">
        <f t="shared" si="1"/>
        <v>0.27058602150537636</v>
      </c>
      <c r="M13" s="50">
        <f>0.208+0.203+0.204</f>
        <v>0.61499999999999999</v>
      </c>
      <c r="N13" s="40">
        <f t="shared" si="2"/>
        <v>1.5594139784946237</v>
      </c>
      <c r="O13" s="49" t="s">
        <v>37</v>
      </c>
      <c r="P13" s="46">
        <f t="shared" si="4"/>
        <v>5387.4</v>
      </c>
      <c r="Q13" s="43">
        <f>0.61*3</f>
        <v>1.83</v>
      </c>
      <c r="R13" s="44">
        <f t="shared" si="5"/>
        <v>43.997727074044938</v>
      </c>
    </row>
    <row r="14" spans="1:18" ht="22.5" x14ac:dyDescent="0.25">
      <c r="A14" s="31" t="s">
        <v>40</v>
      </c>
      <c r="B14" s="45" t="s">
        <v>41</v>
      </c>
      <c r="C14" s="33">
        <v>1.2821799999999999</v>
      </c>
      <c r="D14" s="33">
        <v>0</v>
      </c>
      <c r="E14" s="34">
        <v>0</v>
      </c>
      <c r="F14" s="34">
        <v>0</v>
      </c>
      <c r="G14" s="33">
        <v>1.183E-2</v>
      </c>
      <c r="H14" s="35">
        <f t="shared" si="0"/>
        <v>1.2940099999999999</v>
      </c>
      <c r="I14" s="21">
        <f>(49.98+5.91)/744</f>
        <v>7.5120967741935482E-2</v>
      </c>
      <c r="J14" s="36">
        <f>13.02/744</f>
        <v>1.7499999999999998E-2</v>
      </c>
      <c r="K14" s="37">
        <v>0</v>
      </c>
      <c r="L14" s="38">
        <f t="shared" si="1"/>
        <v>1.3866309677419355</v>
      </c>
      <c r="M14" s="50">
        <f>0.949+0.931+0.08</f>
        <v>1.96</v>
      </c>
      <c r="N14" s="40">
        <f>0.949+0.931+0.08-L14</f>
        <v>0.57336903225806446</v>
      </c>
      <c r="O14" s="49">
        <f>N14</f>
        <v>0.57336903225806446</v>
      </c>
      <c r="P14" s="46">
        <f t="shared" si="4"/>
        <v>17169.599999999999</v>
      </c>
      <c r="Q14" s="43">
        <v>2.0118999999999998</v>
      </c>
      <c r="R14" s="44">
        <f t="shared" si="5"/>
        <v>70.746477946017123</v>
      </c>
    </row>
    <row r="15" spans="1:18" ht="45" x14ac:dyDescent="0.25">
      <c r="A15" s="31" t="s">
        <v>42</v>
      </c>
      <c r="B15" s="45" t="s">
        <v>43</v>
      </c>
      <c r="C15" s="33">
        <v>2.35066</v>
      </c>
      <c r="D15" s="33">
        <v>0.19900000000000001</v>
      </c>
      <c r="E15" s="34">
        <v>0</v>
      </c>
      <c r="F15" s="34">
        <v>0</v>
      </c>
      <c r="G15" s="33">
        <v>0.5200800000000001</v>
      </c>
      <c r="H15" s="35">
        <f t="shared" si="0"/>
        <v>3.0697399999999999</v>
      </c>
      <c r="I15" s="21">
        <f>(55.35+11.19)/744</f>
        <v>8.9435483870967752E-2</v>
      </c>
      <c r="J15" s="36">
        <f>31.2/744</f>
        <v>4.1935483870967738E-2</v>
      </c>
      <c r="K15" s="37">
        <v>0</v>
      </c>
      <c r="L15" s="38">
        <f t="shared" si="1"/>
        <v>3.2011109677419354</v>
      </c>
      <c r="M15" s="39">
        <f>0.56+0.544+0.573+0.58+0.589+0.688+0.569+0.54</f>
        <v>4.6429999999999998</v>
      </c>
      <c r="N15" s="40">
        <f t="shared" si="2"/>
        <v>1.4788890322580643</v>
      </c>
      <c r="O15" s="49" t="s">
        <v>37</v>
      </c>
      <c r="P15" s="46">
        <f t="shared" si="4"/>
        <v>40672.68</v>
      </c>
      <c r="Q15" s="43">
        <v>4.68</v>
      </c>
      <c r="R15" s="44">
        <f t="shared" si="5"/>
        <v>68.944884078008513</v>
      </c>
    </row>
    <row r="16" spans="1:18" ht="33.75" x14ac:dyDescent="0.25">
      <c r="A16" s="31" t="s">
        <v>44</v>
      </c>
      <c r="B16" s="45" t="s">
        <v>45</v>
      </c>
      <c r="C16" s="33">
        <v>4.7844100000000012</v>
      </c>
      <c r="D16" s="33">
        <v>0.12998000000000001</v>
      </c>
      <c r="E16" s="34">
        <v>0</v>
      </c>
      <c r="F16" s="34">
        <v>0</v>
      </c>
      <c r="G16" s="33">
        <v>0.42693000000000003</v>
      </c>
      <c r="H16" s="35">
        <f t="shared" si="0"/>
        <v>5.3413200000000014</v>
      </c>
      <c r="I16" s="21">
        <f>(318.87+23.91)/744</f>
        <v>0.46072580645161293</v>
      </c>
      <c r="J16" s="36">
        <f>67.75/744</f>
        <v>9.106182795698925E-2</v>
      </c>
      <c r="K16" s="37">
        <v>0</v>
      </c>
      <c r="L16" s="38">
        <f t="shared" si="1"/>
        <v>5.8931076344086035</v>
      </c>
      <c r="M16" s="39">
        <f>0.827+0.649+0.806+0.807+0.603+0.806+0.818+0.716+0.826</f>
        <v>6.8579999999999997</v>
      </c>
      <c r="N16" s="40">
        <f t="shared" si="2"/>
        <v>1.8468923655913967</v>
      </c>
      <c r="O16" s="49" t="s">
        <v>37</v>
      </c>
      <c r="P16" s="46">
        <f t="shared" si="4"/>
        <v>60076.08</v>
      </c>
      <c r="Q16" s="43">
        <v>7.74</v>
      </c>
      <c r="R16" s="44">
        <f t="shared" si="5"/>
        <v>85.9304117003296</v>
      </c>
    </row>
    <row r="17" spans="1:18" ht="45" x14ac:dyDescent="0.25">
      <c r="A17" s="31" t="s">
        <v>46</v>
      </c>
      <c r="B17" s="45" t="s">
        <v>47</v>
      </c>
      <c r="C17" s="33">
        <v>0</v>
      </c>
      <c r="D17" s="33">
        <v>6.3299999999999995E-2</v>
      </c>
      <c r="E17" s="34">
        <v>0</v>
      </c>
      <c r="F17" s="34">
        <v>0</v>
      </c>
      <c r="G17" s="33">
        <v>0.40930000000000011</v>
      </c>
      <c r="H17" s="35">
        <f t="shared" si="0"/>
        <v>0.47260000000000013</v>
      </c>
      <c r="I17" s="21">
        <f>(112.16+0.27)/744</f>
        <v>0.15111559139784944</v>
      </c>
      <c r="J17" s="36">
        <f>18.2/744</f>
        <v>2.4462365591397847E-2</v>
      </c>
      <c r="K17" s="37">
        <v>0</v>
      </c>
      <c r="L17" s="38">
        <f t="shared" si="1"/>
        <v>0.64817795698924741</v>
      </c>
      <c r="M17" s="39">
        <f>0.379+0.344+0.507+0.349</f>
        <v>1.579</v>
      </c>
      <c r="N17" s="40">
        <f>0.379+0.344+0.507+0.356-L17</f>
        <v>0.93782204301075245</v>
      </c>
      <c r="O17" s="41">
        <f t="shared" si="3"/>
        <v>0.93782204301075245</v>
      </c>
      <c r="P17" s="46">
        <f t="shared" si="4"/>
        <v>13832.04</v>
      </c>
      <c r="Q17" s="43">
        <v>2.13</v>
      </c>
      <c r="R17" s="44">
        <f>L17/M17*100</f>
        <v>41.049902279243028</v>
      </c>
    </row>
    <row r="18" spans="1:18" ht="33" customHeight="1" x14ac:dyDescent="0.25">
      <c r="A18" s="31" t="s">
        <v>48</v>
      </c>
      <c r="B18" s="45" t="s">
        <v>49</v>
      </c>
      <c r="C18" s="33">
        <v>36.09205</v>
      </c>
      <c r="D18" s="33">
        <v>0.58309999999999995</v>
      </c>
      <c r="E18" s="33">
        <v>0.71250000000000002</v>
      </c>
      <c r="F18" s="34">
        <v>0</v>
      </c>
      <c r="G18" s="33">
        <v>2.6253000000000006</v>
      </c>
      <c r="H18" s="35">
        <f t="shared" si="0"/>
        <v>40.012950000000004</v>
      </c>
      <c r="I18" s="21">
        <f>(1640.37+1449.81+181.96)/744</f>
        <v>4.3980376344086016</v>
      </c>
      <c r="J18" s="36">
        <f>674.28/744</f>
        <v>0.90629032258064512</v>
      </c>
      <c r="K18" s="37">
        <v>0</v>
      </c>
      <c r="L18" s="38">
        <f t="shared" si="1"/>
        <v>45.317277956989251</v>
      </c>
      <c r="M18" s="39">
        <f>6.516+5.141+13.301+13.815+13.739</f>
        <v>52.512</v>
      </c>
      <c r="N18" s="40">
        <f>52.512-L18</f>
        <v>7.1947220430107492</v>
      </c>
      <c r="O18" s="51">
        <f>N18</f>
        <v>7.1947220430107492</v>
      </c>
      <c r="P18" s="46">
        <f t="shared" si="4"/>
        <v>460005.12</v>
      </c>
      <c r="Q18" s="52">
        <v>78.400000000000006</v>
      </c>
      <c r="R18" s="44">
        <f t="shared" si="5"/>
        <v>86.298899217301283</v>
      </c>
    </row>
    <row r="19" spans="1:18" ht="15" customHeight="1" x14ac:dyDescent="0.25">
      <c r="A19" s="31" t="s">
        <v>50</v>
      </c>
      <c r="B19" s="53" t="s">
        <v>51</v>
      </c>
      <c r="C19" s="33">
        <v>0.24740000000000001</v>
      </c>
      <c r="D19" s="33">
        <v>0</v>
      </c>
      <c r="E19" s="34">
        <v>0</v>
      </c>
      <c r="F19" s="34">
        <v>0</v>
      </c>
      <c r="G19" s="33">
        <v>0</v>
      </c>
      <c r="H19" s="35">
        <f t="shared" si="0"/>
        <v>0.24740000000000001</v>
      </c>
      <c r="I19" s="21">
        <f>(22.01+1.14)/744</f>
        <v>3.1115591397849467E-2</v>
      </c>
      <c r="J19" s="36">
        <f>2.21/744</f>
        <v>2.9704301075268815E-3</v>
      </c>
      <c r="K19" s="37">
        <v>0</v>
      </c>
      <c r="L19" s="38">
        <f t="shared" si="1"/>
        <v>0.28148602150537638</v>
      </c>
      <c r="M19" s="39">
        <f>0.192+0.193</f>
        <v>0.38500000000000001</v>
      </c>
      <c r="N19" s="40">
        <f t="shared" si="2"/>
        <v>0.10451397849462363</v>
      </c>
      <c r="O19" s="41">
        <f t="shared" si="3"/>
        <v>0.10451397849462363</v>
      </c>
      <c r="P19" s="46">
        <f t="shared" si="4"/>
        <v>3372.6000000000004</v>
      </c>
      <c r="Q19" s="43">
        <v>0.38600000000000001</v>
      </c>
      <c r="R19" s="44">
        <f t="shared" si="5"/>
        <v>73.113252339058803</v>
      </c>
    </row>
    <row r="20" spans="1:18" ht="12.75" customHeight="1" x14ac:dyDescent="0.25">
      <c r="A20" s="31" t="s">
        <v>52</v>
      </c>
      <c r="B20" s="53" t="s">
        <v>53</v>
      </c>
      <c r="C20" s="33">
        <v>0.51493</v>
      </c>
      <c r="D20" s="33">
        <v>0</v>
      </c>
      <c r="E20" s="34">
        <v>0</v>
      </c>
      <c r="F20" s="34">
        <v>0</v>
      </c>
      <c r="G20" s="33">
        <v>6.2500000000000003E-3</v>
      </c>
      <c r="H20" s="35">
        <f t="shared" si="0"/>
        <v>0.52117999999999998</v>
      </c>
      <c r="I20" s="21">
        <f>(14.84+2.37)/744</f>
        <v>2.3131720430107527E-2</v>
      </c>
      <c r="J20" s="36">
        <f>9.81/744</f>
        <v>1.3185483870967742E-2</v>
      </c>
      <c r="K20" s="37">
        <v>0</v>
      </c>
      <c r="L20" s="38">
        <f t="shared" si="1"/>
        <v>0.5574972043010753</v>
      </c>
      <c r="M20" s="39">
        <f>0.48+0.319</f>
        <v>0.79899999999999993</v>
      </c>
      <c r="N20" s="40">
        <f>0.48+0.319-L20</f>
        <v>0.24150279569892463</v>
      </c>
      <c r="O20" s="41">
        <f t="shared" si="3"/>
        <v>0.24150279569892463</v>
      </c>
      <c r="P20" s="46">
        <f t="shared" si="4"/>
        <v>6999.24</v>
      </c>
      <c r="Q20" s="43">
        <v>0.88</v>
      </c>
      <c r="R20" s="44">
        <f t="shared" si="5"/>
        <v>69.774368498257246</v>
      </c>
    </row>
    <row r="21" spans="1:18" ht="33.75" x14ac:dyDescent="0.25">
      <c r="A21" s="31" t="s">
        <v>54</v>
      </c>
      <c r="B21" s="53" t="s">
        <v>55</v>
      </c>
      <c r="C21" s="33">
        <v>0.183</v>
      </c>
      <c r="D21" s="33">
        <v>0</v>
      </c>
      <c r="E21" s="34">
        <v>0</v>
      </c>
      <c r="F21" s="34">
        <v>0</v>
      </c>
      <c r="G21" s="33">
        <v>0</v>
      </c>
      <c r="H21" s="35">
        <f t="shared" si="0"/>
        <v>0.183</v>
      </c>
      <c r="I21" s="21">
        <f>(1.4+0.84)/744</f>
        <v>3.0107526881720426E-3</v>
      </c>
      <c r="J21" s="36">
        <f>1.94/744</f>
        <v>2.6075268817204299E-3</v>
      </c>
      <c r="K21" s="37">
        <v>0</v>
      </c>
      <c r="L21" s="38">
        <f t="shared" si="1"/>
        <v>0.18861827956989247</v>
      </c>
      <c r="M21" s="39">
        <f>0.061+0.062+0.062+0.063</f>
        <v>0.248</v>
      </c>
      <c r="N21" s="40">
        <f>0.061+0.062+0.062+0.063-L21</f>
        <v>5.9381720430107532E-2</v>
      </c>
      <c r="O21" s="41">
        <f t="shared" si="3"/>
        <v>5.9381720430107532E-2</v>
      </c>
      <c r="P21" s="46">
        <f t="shared" si="4"/>
        <v>2172.48</v>
      </c>
      <c r="Q21" s="43">
        <v>0.34399999999999997</v>
      </c>
      <c r="R21" s="44">
        <f t="shared" si="5"/>
        <v>76.055757891085676</v>
      </c>
    </row>
    <row r="22" spans="1:18" ht="33.75" x14ac:dyDescent="0.25">
      <c r="A22" s="31" t="s">
        <v>56</v>
      </c>
      <c r="B22" s="53" t="s">
        <v>57</v>
      </c>
      <c r="C22" s="33">
        <v>1.13405</v>
      </c>
      <c r="D22" s="33">
        <v>0</v>
      </c>
      <c r="E22" s="34">
        <v>0</v>
      </c>
      <c r="F22" s="34">
        <v>0</v>
      </c>
      <c r="G22" s="33">
        <v>0</v>
      </c>
      <c r="H22" s="35">
        <f t="shared" si="0"/>
        <v>1.13405</v>
      </c>
      <c r="I22" s="21">
        <f>(30.28+146.51+6.35)/744</f>
        <v>0.24615591397849459</v>
      </c>
      <c r="J22" s="36">
        <f>14.2/744</f>
        <v>1.9086021505376343E-2</v>
      </c>
      <c r="K22" s="36">
        <v>0.222</v>
      </c>
      <c r="L22" s="38">
        <f>H22+I22+J22+K22</f>
        <v>1.6212919354838708</v>
      </c>
      <c r="M22" s="39">
        <f>0.818+0.822</f>
        <v>1.64</v>
      </c>
      <c r="N22" s="40">
        <f t="shared" si="2"/>
        <v>1.2708064516129047E-2</v>
      </c>
      <c r="O22" s="49">
        <f>N22</f>
        <v>1.2708064516129047E-2</v>
      </c>
      <c r="P22" s="46">
        <f t="shared" si="4"/>
        <v>14366.399999999998</v>
      </c>
      <c r="Q22" s="54">
        <v>1.6339999999999999</v>
      </c>
      <c r="R22" s="44">
        <v>100</v>
      </c>
    </row>
    <row r="23" spans="1:18" ht="33.75" x14ac:dyDescent="0.25">
      <c r="A23" s="31" t="s">
        <v>58</v>
      </c>
      <c r="B23" s="53" t="s">
        <v>59</v>
      </c>
      <c r="C23" s="33">
        <v>0.39419999999999999</v>
      </c>
      <c r="D23" s="33">
        <v>0</v>
      </c>
      <c r="E23" s="34">
        <v>0</v>
      </c>
      <c r="F23" s="34">
        <v>0</v>
      </c>
      <c r="G23" s="33">
        <v>0</v>
      </c>
      <c r="H23" s="35">
        <f t="shared" si="0"/>
        <v>0.39419999999999999</v>
      </c>
      <c r="I23" s="21">
        <f>(8.9+19.18+1.81)/744</f>
        <v>4.0174731182795693E-2</v>
      </c>
      <c r="J23" s="36">
        <f>8.4/744</f>
        <v>1.1290322580645162E-2</v>
      </c>
      <c r="K23" s="37">
        <v>0</v>
      </c>
      <c r="L23" s="38">
        <f>H23+I23+J23</f>
        <v>0.44566505376344084</v>
      </c>
      <c r="M23" s="39">
        <f>0.181+0.192</f>
        <v>0.373</v>
      </c>
      <c r="N23" s="40">
        <f>0.181+0.192-L23</f>
        <v>-7.2665053763440846E-2</v>
      </c>
      <c r="O23" s="49" t="s">
        <v>37</v>
      </c>
      <c r="P23" s="46">
        <f t="shared" si="4"/>
        <v>3267.4800000000005</v>
      </c>
      <c r="Q23" s="54">
        <v>1.72</v>
      </c>
      <c r="R23" s="44">
        <f t="shared" si="5"/>
        <v>119.48124765775894</v>
      </c>
    </row>
    <row r="24" spans="1:18" ht="34.5" thickBot="1" x14ac:dyDescent="0.3">
      <c r="A24" s="55" t="s">
        <v>60</v>
      </c>
      <c r="B24" s="56" t="s">
        <v>61</v>
      </c>
      <c r="C24" s="57">
        <v>1.3481800000000002</v>
      </c>
      <c r="D24" s="57">
        <v>1.1180000000000001E-2</v>
      </c>
      <c r="E24" s="58">
        <v>0</v>
      </c>
      <c r="F24" s="58">
        <v>0</v>
      </c>
      <c r="G24" s="57">
        <v>5.466E-2</v>
      </c>
      <c r="H24" s="59">
        <f t="shared" si="0"/>
        <v>1.4140200000000001</v>
      </c>
      <c r="I24" s="60">
        <f>(73.3+88.2+6.34)/744+0.01</f>
        <v>0.23559139784946237</v>
      </c>
      <c r="J24" s="61">
        <f>22.51/744</f>
        <v>3.0255376344086024E-2</v>
      </c>
      <c r="K24" s="62">
        <v>0</v>
      </c>
      <c r="L24" s="63">
        <f>H24+I24+J24</f>
        <v>1.6798667741935485</v>
      </c>
      <c r="M24" s="64">
        <v>1.7629999999999999</v>
      </c>
      <c r="N24" s="65">
        <f t="shared" si="2"/>
        <v>8.3133225806451438E-2</v>
      </c>
      <c r="O24" s="66">
        <f>N24</f>
        <v>8.3133225806451438E-2</v>
      </c>
      <c r="P24" s="67">
        <f t="shared" si="4"/>
        <v>15443.880000000001</v>
      </c>
      <c r="Q24" s="68">
        <v>1.7629999999999999</v>
      </c>
      <c r="R24" s="30">
        <f t="shared" si="5"/>
        <v>95.284558944614218</v>
      </c>
    </row>
    <row r="25" spans="1:18" ht="15.75" thickBot="1" x14ac:dyDescent="0.3">
      <c r="A25" s="69" t="s">
        <v>18</v>
      </c>
      <c r="B25" s="70"/>
      <c r="C25" s="71">
        <f>SUM(C4:C24)</f>
        <v>73.95986000000002</v>
      </c>
      <c r="D25" s="71">
        <f t="shared" ref="D25:L25" si="6">SUM(D4:D24)</f>
        <v>1.03026</v>
      </c>
      <c r="E25" s="71">
        <f t="shared" si="6"/>
        <v>0.72450000000000003</v>
      </c>
      <c r="F25" s="71">
        <f t="shared" si="6"/>
        <v>0</v>
      </c>
      <c r="G25" s="71">
        <f t="shared" si="6"/>
        <v>4.8349600000000006</v>
      </c>
      <c r="H25" s="71">
        <f t="shared" si="6"/>
        <v>80.549580000000006</v>
      </c>
      <c r="I25" s="72">
        <f>SUM(I4:I24)</f>
        <v>8.4293145161290344</v>
      </c>
      <c r="J25" s="73">
        <f t="shared" si="6"/>
        <v>1.7012365591397849</v>
      </c>
      <c r="K25" s="73">
        <f t="shared" si="6"/>
        <v>0.23014499999999999</v>
      </c>
      <c r="L25" s="74">
        <f t="shared" si="6"/>
        <v>90.910276075268811</v>
      </c>
      <c r="M25" s="75">
        <f>SUM(M4:M24)</f>
        <v>111.88300000000004</v>
      </c>
      <c r="N25" s="75">
        <f>SUM(N4:N24)</f>
        <v>23.083623924731175</v>
      </c>
      <c r="O25" s="75">
        <f>SUM(O4:O24)</f>
        <v>17.831027473118272</v>
      </c>
      <c r="P25" s="76">
        <f>SUM(P4:P24)</f>
        <v>980095.08</v>
      </c>
      <c r="Q25" s="77">
        <f>SUM(Q4:Q24)</f>
        <v>146.34579999999997</v>
      </c>
      <c r="R25" s="78">
        <f t="shared" si="5"/>
        <v>81.254771569647559</v>
      </c>
    </row>
    <row r="26" spans="1:18" x14ac:dyDescent="0.25">
      <c r="A26" s="79" t="s">
        <v>62</v>
      </c>
      <c r="B26" s="80"/>
    </row>
    <row r="28" spans="1:18" x14ac:dyDescent="0.25">
      <c r="J28" s="81"/>
      <c r="L28" s="82"/>
      <c r="N28" s="82">
        <f>N6+N8</f>
        <v>0.42509537634408545</v>
      </c>
    </row>
  </sheetData>
  <mergeCells count="14">
    <mergeCell ref="O2:O3"/>
    <mergeCell ref="P2:P3"/>
    <mergeCell ref="Q2:Q3"/>
    <mergeCell ref="R2:R3"/>
    <mergeCell ref="A1:O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workbookViewId="0">
      <selection sqref="A1:XFD1048576"/>
    </sheetView>
  </sheetViews>
  <sheetFormatPr defaultRowHeight="15" x14ac:dyDescent="0.25"/>
  <cols>
    <col min="1" max="1" width="16.85546875" customWidth="1"/>
    <col min="2" max="2" width="25.42578125" customWidth="1"/>
    <col min="9" max="9" width="16.28515625" customWidth="1"/>
    <col min="10" max="11" width="16.42578125" customWidth="1"/>
    <col min="12" max="12" width="19.85546875" customWidth="1"/>
    <col min="13" max="13" width="21.28515625" customWidth="1"/>
    <col min="14" max="14" width="18.42578125" customWidth="1"/>
    <col min="15" max="15" width="17" customWidth="1"/>
    <col min="16" max="16" width="21.140625" customWidth="1"/>
    <col min="17" max="17" width="21" customWidth="1"/>
    <col min="18" max="18" width="17.85546875" customWidth="1"/>
    <col min="257" max="257" width="16.85546875" customWidth="1"/>
    <col min="258" max="258" width="25.42578125" customWidth="1"/>
    <col min="265" max="265" width="16.28515625" customWidth="1"/>
    <col min="266" max="267" width="16.42578125" customWidth="1"/>
    <col min="268" max="268" width="19.85546875" customWidth="1"/>
    <col min="269" max="269" width="21.28515625" customWidth="1"/>
    <col min="270" max="270" width="18.42578125" customWidth="1"/>
    <col min="271" max="271" width="17" customWidth="1"/>
    <col min="272" max="272" width="21.140625" customWidth="1"/>
    <col min="273" max="273" width="21" customWidth="1"/>
    <col min="274" max="274" width="17.85546875" customWidth="1"/>
    <col min="513" max="513" width="16.85546875" customWidth="1"/>
    <col min="514" max="514" width="25.42578125" customWidth="1"/>
    <col min="521" max="521" width="16.28515625" customWidth="1"/>
    <col min="522" max="523" width="16.42578125" customWidth="1"/>
    <col min="524" max="524" width="19.85546875" customWidth="1"/>
    <col min="525" max="525" width="21.28515625" customWidth="1"/>
    <col min="526" max="526" width="18.42578125" customWidth="1"/>
    <col min="527" max="527" width="17" customWidth="1"/>
    <col min="528" max="528" width="21.140625" customWidth="1"/>
    <col min="529" max="529" width="21" customWidth="1"/>
    <col min="530" max="530" width="17.85546875" customWidth="1"/>
    <col min="769" max="769" width="16.85546875" customWidth="1"/>
    <col min="770" max="770" width="25.42578125" customWidth="1"/>
    <col min="777" max="777" width="16.28515625" customWidth="1"/>
    <col min="778" max="779" width="16.42578125" customWidth="1"/>
    <col min="780" max="780" width="19.85546875" customWidth="1"/>
    <col min="781" max="781" width="21.28515625" customWidth="1"/>
    <col min="782" max="782" width="18.42578125" customWidth="1"/>
    <col min="783" max="783" width="17" customWidth="1"/>
    <col min="784" max="784" width="21.140625" customWidth="1"/>
    <col min="785" max="785" width="21" customWidth="1"/>
    <col min="786" max="786" width="17.85546875" customWidth="1"/>
    <col min="1025" max="1025" width="16.85546875" customWidth="1"/>
    <col min="1026" max="1026" width="25.42578125" customWidth="1"/>
    <col min="1033" max="1033" width="16.28515625" customWidth="1"/>
    <col min="1034" max="1035" width="16.42578125" customWidth="1"/>
    <col min="1036" max="1036" width="19.85546875" customWidth="1"/>
    <col min="1037" max="1037" width="21.28515625" customWidth="1"/>
    <col min="1038" max="1038" width="18.42578125" customWidth="1"/>
    <col min="1039" max="1039" width="17" customWidth="1"/>
    <col min="1040" max="1040" width="21.140625" customWidth="1"/>
    <col min="1041" max="1041" width="21" customWidth="1"/>
    <col min="1042" max="1042" width="17.85546875" customWidth="1"/>
    <col min="1281" max="1281" width="16.85546875" customWidth="1"/>
    <col min="1282" max="1282" width="25.42578125" customWidth="1"/>
    <col min="1289" max="1289" width="16.28515625" customWidth="1"/>
    <col min="1290" max="1291" width="16.42578125" customWidth="1"/>
    <col min="1292" max="1292" width="19.85546875" customWidth="1"/>
    <col min="1293" max="1293" width="21.28515625" customWidth="1"/>
    <col min="1294" max="1294" width="18.42578125" customWidth="1"/>
    <col min="1295" max="1295" width="17" customWidth="1"/>
    <col min="1296" max="1296" width="21.140625" customWidth="1"/>
    <col min="1297" max="1297" width="21" customWidth="1"/>
    <col min="1298" max="1298" width="17.85546875" customWidth="1"/>
    <col min="1537" max="1537" width="16.85546875" customWidth="1"/>
    <col min="1538" max="1538" width="25.42578125" customWidth="1"/>
    <col min="1545" max="1545" width="16.28515625" customWidth="1"/>
    <col min="1546" max="1547" width="16.42578125" customWidth="1"/>
    <col min="1548" max="1548" width="19.85546875" customWidth="1"/>
    <col min="1549" max="1549" width="21.28515625" customWidth="1"/>
    <col min="1550" max="1550" width="18.42578125" customWidth="1"/>
    <col min="1551" max="1551" width="17" customWidth="1"/>
    <col min="1552" max="1552" width="21.140625" customWidth="1"/>
    <col min="1553" max="1553" width="21" customWidth="1"/>
    <col min="1554" max="1554" width="17.85546875" customWidth="1"/>
    <col min="1793" max="1793" width="16.85546875" customWidth="1"/>
    <col min="1794" max="1794" width="25.42578125" customWidth="1"/>
    <col min="1801" max="1801" width="16.28515625" customWidth="1"/>
    <col min="1802" max="1803" width="16.42578125" customWidth="1"/>
    <col min="1804" max="1804" width="19.85546875" customWidth="1"/>
    <col min="1805" max="1805" width="21.28515625" customWidth="1"/>
    <col min="1806" max="1806" width="18.42578125" customWidth="1"/>
    <col min="1807" max="1807" width="17" customWidth="1"/>
    <col min="1808" max="1808" width="21.140625" customWidth="1"/>
    <col min="1809" max="1809" width="21" customWidth="1"/>
    <col min="1810" max="1810" width="17.85546875" customWidth="1"/>
    <col min="2049" max="2049" width="16.85546875" customWidth="1"/>
    <col min="2050" max="2050" width="25.42578125" customWidth="1"/>
    <col min="2057" max="2057" width="16.28515625" customWidth="1"/>
    <col min="2058" max="2059" width="16.42578125" customWidth="1"/>
    <col min="2060" max="2060" width="19.85546875" customWidth="1"/>
    <col min="2061" max="2061" width="21.28515625" customWidth="1"/>
    <col min="2062" max="2062" width="18.42578125" customWidth="1"/>
    <col min="2063" max="2063" width="17" customWidth="1"/>
    <col min="2064" max="2064" width="21.140625" customWidth="1"/>
    <col min="2065" max="2065" width="21" customWidth="1"/>
    <col min="2066" max="2066" width="17.85546875" customWidth="1"/>
    <col min="2305" max="2305" width="16.85546875" customWidth="1"/>
    <col min="2306" max="2306" width="25.42578125" customWidth="1"/>
    <col min="2313" max="2313" width="16.28515625" customWidth="1"/>
    <col min="2314" max="2315" width="16.42578125" customWidth="1"/>
    <col min="2316" max="2316" width="19.85546875" customWidth="1"/>
    <col min="2317" max="2317" width="21.28515625" customWidth="1"/>
    <col min="2318" max="2318" width="18.42578125" customWidth="1"/>
    <col min="2319" max="2319" width="17" customWidth="1"/>
    <col min="2320" max="2320" width="21.140625" customWidth="1"/>
    <col min="2321" max="2321" width="21" customWidth="1"/>
    <col min="2322" max="2322" width="17.85546875" customWidth="1"/>
    <col min="2561" max="2561" width="16.85546875" customWidth="1"/>
    <col min="2562" max="2562" width="25.42578125" customWidth="1"/>
    <col min="2569" max="2569" width="16.28515625" customWidth="1"/>
    <col min="2570" max="2571" width="16.42578125" customWidth="1"/>
    <col min="2572" max="2572" width="19.85546875" customWidth="1"/>
    <col min="2573" max="2573" width="21.28515625" customWidth="1"/>
    <col min="2574" max="2574" width="18.42578125" customWidth="1"/>
    <col min="2575" max="2575" width="17" customWidth="1"/>
    <col min="2576" max="2576" width="21.140625" customWidth="1"/>
    <col min="2577" max="2577" width="21" customWidth="1"/>
    <col min="2578" max="2578" width="17.85546875" customWidth="1"/>
    <col min="2817" max="2817" width="16.85546875" customWidth="1"/>
    <col min="2818" max="2818" width="25.42578125" customWidth="1"/>
    <col min="2825" max="2825" width="16.28515625" customWidth="1"/>
    <col min="2826" max="2827" width="16.42578125" customWidth="1"/>
    <col min="2828" max="2828" width="19.85546875" customWidth="1"/>
    <col min="2829" max="2829" width="21.28515625" customWidth="1"/>
    <col min="2830" max="2830" width="18.42578125" customWidth="1"/>
    <col min="2831" max="2831" width="17" customWidth="1"/>
    <col min="2832" max="2832" width="21.140625" customWidth="1"/>
    <col min="2833" max="2833" width="21" customWidth="1"/>
    <col min="2834" max="2834" width="17.85546875" customWidth="1"/>
    <col min="3073" max="3073" width="16.85546875" customWidth="1"/>
    <col min="3074" max="3074" width="25.42578125" customWidth="1"/>
    <col min="3081" max="3081" width="16.28515625" customWidth="1"/>
    <col min="3082" max="3083" width="16.42578125" customWidth="1"/>
    <col min="3084" max="3084" width="19.85546875" customWidth="1"/>
    <col min="3085" max="3085" width="21.28515625" customWidth="1"/>
    <col min="3086" max="3086" width="18.42578125" customWidth="1"/>
    <col min="3087" max="3087" width="17" customWidth="1"/>
    <col min="3088" max="3088" width="21.140625" customWidth="1"/>
    <col min="3089" max="3089" width="21" customWidth="1"/>
    <col min="3090" max="3090" width="17.85546875" customWidth="1"/>
    <col min="3329" max="3329" width="16.85546875" customWidth="1"/>
    <col min="3330" max="3330" width="25.42578125" customWidth="1"/>
    <col min="3337" max="3337" width="16.28515625" customWidth="1"/>
    <col min="3338" max="3339" width="16.42578125" customWidth="1"/>
    <col min="3340" max="3340" width="19.85546875" customWidth="1"/>
    <col min="3341" max="3341" width="21.28515625" customWidth="1"/>
    <col min="3342" max="3342" width="18.42578125" customWidth="1"/>
    <col min="3343" max="3343" width="17" customWidth="1"/>
    <col min="3344" max="3344" width="21.140625" customWidth="1"/>
    <col min="3345" max="3345" width="21" customWidth="1"/>
    <col min="3346" max="3346" width="17.85546875" customWidth="1"/>
    <col min="3585" max="3585" width="16.85546875" customWidth="1"/>
    <col min="3586" max="3586" width="25.42578125" customWidth="1"/>
    <col min="3593" max="3593" width="16.28515625" customWidth="1"/>
    <col min="3594" max="3595" width="16.42578125" customWidth="1"/>
    <col min="3596" max="3596" width="19.85546875" customWidth="1"/>
    <col min="3597" max="3597" width="21.28515625" customWidth="1"/>
    <col min="3598" max="3598" width="18.42578125" customWidth="1"/>
    <col min="3599" max="3599" width="17" customWidth="1"/>
    <col min="3600" max="3600" width="21.140625" customWidth="1"/>
    <col min="3601" max="3601" width="21" customWidth="1"/>
    <col min="3602" max="3602" width="17.85546875" customWidth="1"/>
    <col min="3841" max="3841" width="16.85546875" customWidth="1"/>
    <col min="3842" max="3842" width="25.42578125" customWidth="1"/>
    <col min="3849" max="3849" width="16.28515625" customWidth="1"/>
    <col min="3850" max="3851" width="16.42578125" customWidth="1"/>
    <col min="3852" max="3852" width="19.85546875" customWidth="1"/>
    <col min="3853" max="3853" width="21.28515625" customWidth="1"/>
    <col min="3854" max="3854" width="18.42578125" customWidth="1"/>
    <col min="3855" max="3855" width="17" customWidth="1"/>
    <col min="3856" max="3856" width="21.140625" customWidth="1"/>
    <col min="3857" max="3857" width="21" customWidth="1"/>
    <col min="3858" max="3858" width="17.85546875" customWidth="1"/>
    <col min="4097" max="4097" width="16.85546875" customWidth="1"/>
    <col min="4098" max="4098" width="25.42578125" customWidth="1"/>
    <col min="4105" max="4105" width="16.28515625" customWidth="1"/>
    <col min="4106" max="4107" width="16.42578125" customWidth="1"/>
    <col min="4108" max="4108" width="19.85546875" customWidth="1"/>
    <col min="4109" max="4109" width="21.28515625" customWidth="1"/>
    <col min="4110" max="4110" width="18.42578125" customWidth="1"/>
    <col min="4111" max="4111" width="17" customWidth="1"/>
    <col min="4112" max="4112" width="21.140625" customWidth="1"/>
    <col min="4113" max="4113" width="21" customWidth="1"/>
    <col min="4114" max="4114" width="17.85546875" customWidth="1"/>
    <col min="4353" max="4353" width="16.85546875" customWidth="1"/>
    <col min="4354" max="4354" width="25.42578125" customWidth="1"/>
    <col min="4361" max="4361" width="16.28515625" customWidth="1"/>
    <col min="4362" max="4363" width="16.42578125" customWidth="1"/>
    <col min="4364" max="4364" width="19.85546875" customWidth="1"/>
    <col min="4365" max="4365" width="21.28515625" customWidth="1"/>
    <col min="4366" max="4366" width="18.42578125" customWidth="1"/>
    <col min="4367" max="4367" width="17" customWidth="1"/>
    <col min="4368" max="4368" width="21.140625" customWidth="1"/>
    <col min="4369" max="4369" width="21" customWidth="1"/>
    <col min="4370" max="4370" width="17.85546875" customWidth="1"/>
    <col min="4609" max="4609" width="16.85546875" customWidth="1"/>
    <col min="4610" max="4610" width="25.42578125" customWidth="1"/>
    <col min="4617" max="4617" width="16.28515625" customWidth="1"/>
    <col min="4618" max="4619" width="16.42578125" customWidth="1"/>
    <col min="4620" max="4620" width="19.85546875" customWidth="1"/>
    <col min="4621" max="4621" width="21.28515625" customWidth="1"/>
    <col min="4622" max="4622" width="18.42578125" customWidth="1"/>
    <col min="4623" max="4623" width="17" customWidth="1"/>
    <col min="4624" max="4624" width="21.140625" customWidth="1"/>
    <col min="4625" max="4625" width="21" customWidth="1"/>
    <col min="4626" max="4626" width="17.85546875" customWidth="1"/>
    <col min="4865" max="4865" width="16.85546875" customWidth="1"/>
    <col min="4866" max="4866" width="25.42578125" customWidth="1"/>
    <col min="4873" max="4873" width="16.28515625" customWidth="1"/>
    <col min="4874" max="4875" width="16.42578125" customWidth="1"/>
    <col min="4876" max="4876" width="19.85546875" customWidth="1"/>
    <col min="4877" max="4877" width="21.28515625" customWidth="1"/>
    <col min="4878" max="4878" width="18.42578125" customWidth="1"/>
    <col min="4879" max="4879" width="17" customWidth="1"/>
    <col min="4880" max="4880" width="21.140625" customWidth="1"/>
    <col min="4881" max="4881" width="21" customWidth="1"/>
    <col min="4882" max="4882" width="17.85546875" customWidth="1"/>
    <col min="5121" max="5121" width="16.85546875" customWidth="1"/>
    <col min="5122" max="5122" width="25.42578125" customWidth="1"/>
    <col min="5129" max="5129" width="16.28515625" customWidth="1"/>
    <col min="5130" max="5131" width="16.42578125" customWidth="1"/>
    <col min="5132" max="5132" width="19.85546875" customWidth="1"/>
    <col min="5133" max="5133" width="21.28515625" customWidth="1"/>
    <col min="5134" max="5134" width="18.42578125" customWidth="1"/>
    <col min="5135" max="5135" width="17" customWidth="1"/>
    <col min="5136" max="5136" width="21.140625" customWidth="1"/>
    <col min="5137" max="5137" width="21" customWidth="1"/>
    <col min="5138" max="5138" width="17.85546875" customWidth="1"/>
    <col min="5377" max="5377" width="16.85546875" customWidth="1"/>
    <col min="5378" max="5378" width="25.42578125" customWidth="1"/>
    <col min="5385" max="5385" width="16.28515625" customWidth="1"/>
    <col min="5386" max="5387" width="16.42578125" customWidth="1"/>
    <col min="5388" max="5388" width="19.85546875" customWidth="1"/>
    <col min="5389" max="5389" width="21.28515625" customWidth="1"/>
    <col min="5390" max="5390" width="18.42578125" customWidth="1"/>
    <col min="5391" max="5391" width="17" customWidth="1"/>
    <col min="5392" max="5392" width="21.140625" customWidth="1"/>
    <col min="5393" max="5393" width="21" customWidth="1"/>
    <col min="5394" max="5394" width="17.85546875" customWidth="1"/>
    <col min="5633" max="5633" width="16.85546875" customWidth="1"/>
    <col min="5634" max="5634" width="25.42578125" customWidth="1"/>
    <col min="5641" max="5641" width="16.28515625" customWidth="1"/>
    <col min="5642" max="5643" width="16.42578125" customWidth="1"/>
    <col min="5644" max="5644" width="19.85546875" customWidth="1"/>
    <col min="5645" max="5645" width="21.28515625" customWidth="1"/>
    <col min="5646" max="5646" width="18.42578125" customWidth="1"/>
    <col min="5647" max="5647" width="17" customWidth="1"/>
    <col min="5648" max="5648" width="21.140625" customWidth="1"/>
    <col min="5649" max="5649" width="21" customWidth="1"/>
    <col min="5650" max="5650" width="17.85546875" customWidth="1"/>
    <col min="5889" max="5889" width="16.85546875" customWidth="1"/>
    <col min="5890" max="5890" width="25.42578125" customWidth="1"/>
    <col min="5897" max="5897" width="16.28515625" customWidth="1"/>
    <col min="5898" max="5899" width="16.42578125" customWidth="1"/>
    <col min="5900" max="5900" width="19.85546875" customWidth="1"/>
    <col min="5901" max="5901" width="21.28515625" customWidth="1"/>
    <col min="5902" max="5902" width="18.42578125" customWidth="1"/>
    <col min="5903" max="5903" width="17" customWidth="1"/>
    <col min="5904" max="5904" width="21.140625" customWidth="1"/>
    <col min="5905" max="5905" width="21" customWidth="1"/>
    <col min="5906" max="5906" width="17.85546875" customWidth="1"/>
    <col min="6145" max="6145" width="16.85546875" customWidth="1"/>
    <col min="6146" max="6146" width="25.42578125" customWidth="1"/>
    <col min="6153" max="6153" width="16.28515625" customWidth="1"/>
    <col min="6154" max="6155" width="16.42578125" customWidth="1"/>
    <col min="6156" max="6156" width="19.85546875" customWidth="1"/>
    <col min="6157" max="6157" width="21.28515625" customWidth="1"/>
    <col min="6158" max="6158" width="18.42578125" customWidth="1"/>
    <col min="6159" max="6159" width="17" customWidth="1"/>
    <col min="6160" max="6160" width="21.140625" customWidth="1"/>
    <col min="6161" max="6161" width="21" customWidth="1"/>
    <col min="6162" max="6162" width="17.85546875" customWidth="1"/>
    <col min="6401" max="6401" width="16.85546875" customWidth="1"/>
    <col min="6402" max="6402" width="25.42578125" customWidth="1"/>
    <col min="6409" max="6409" width="16.28515625" customWidth="1"/>
    <col min="6410" max="6411" width="16.42578125" customWidth="1"/>
    <col min="6412" max="6412" width="19.85546875" customWidth="1"/>
    <col min="6413" max="6413" width="21.28515625" customWidth="1"/>
    <col min="6414" max="6414" width="18.42578125" customWidth="1"/>
    <col min="6415" max="6415" width="17" customWidth="1"/>
    <col min="6416" max="6416" width="21.140625" customWidth="1"/>
    <col min="6417" max="6417" width="21" customWidth="1"/>
    <col min="6418" max="6418" width="17.85546875" customWidth="1"/>
    <col min="6657" max="6657" width="16.85546875" customWidth="1"/>
    <col min="6658" max="6658" width="25.42578125" customWidth="1"/>
    <col min="6665" max="6665" width="16.28515625" customWidth="1"/>
    <col min="6666" max="6667" width="16.42578125" customWidth="1"/>
    <col min="6668" max="6668" width="19.85546875" customWidth="1"/>
    <col min="6669" max="6669" width="21.28515625" customWidth="1"/>
    <col min="6670" max="6670" width="18.42578125" customWidth="1"/>
    <col min="6671" max="6671" width="17" customWidth="1"/>
    <col min="6672" max="6672" width="21.140625" customWidth="1"/>
    <col min="6673" max="6673" width="21" customWidth="1"/>
    <col min="6674" max="6674" width="17.85546875" customWidth="1"/>
    <col min="6913" max="6913" width="16.85546875" customWidth="1"/>
    <col min="6914" max="6914" width="25.42578125" customWidth="1"/>
    <col min="6921" max="6921" width="16.28515625" customWidth="1"/>
    <col min="6922" max="6923" width="16.42578125" customWidth="1"/>
    <col min="6924" max="6924" width="19.85546875" customWidth="1"/>
    <col min="6925" max="6925" width="21.28515625" customWidth="1"/>
    <col min="6926" max="6926" width="18.42578125" customWidth="1"/>
    <col min="6927" max="6927" width="17" customWidth="1"/>
    <col min="6928" max="6928" width="21.140625" customWidth="1"/>
    <col min="6929" max="6929" width="21" customWidth="1"/>
    <col min="6930" max="6930" width="17.85546875" customWidth="1"/>
    <col min="7169" max="7169" width="16.85546875" customWidth="1"/>
    <col min="7170" max="7170" width="25.42578125" customWidth="1"/>
    <col min="7177" max="7177" width="16.28515625" customWidth="1"/>
    <col min="7178" max="7179" width="16.42578125" customWidth="1"/>
    <col min="7180" max="7180" width="19.85546875" customWidth="1"/>
    <col min="7181" max="7181" width="21.28515625" customWidth="1"/>
    <col min="7182" max="7182" width="18.42578125" customWidth="1"/>
    <col min="7183" max="7183" width="17" customWidth="1"/>
    <col min="7184" max="7184" width="21.140625" customWidth="1"/>
    <col min="7185" max="7185" width="21" customWidth="1"/>
    <col min="7186" max="7186" width="17.85546875" customWidth="1"/>
    <col min="7425" max="7425" width="16.85546875" customWidth="1"/>
    <col min="7426" max="7426" width="25.42578125" customWidth="1"/>
    <col min="7433" max="7433" width="16.28515625" customWidth="1"/>
    <col min="7434" max="7435" width="16.42578125" customWidth="1"/>
    <col min="7436" max="7436" width="19.85546875" customWidth="1"/>
    <col min="7437" max="7437" width="21.28515625" customWidth="1"/>
    <col min="7438" max="7438" width="18.42578125" customWidth="1"/>
    <col min="7439" max="7439" width="17" customWidth="1"/>
    <col min="7440" max="7440" width="21.140625" customWidth="1"/>
    <col min="7441" max="7441" width="21" customWidth="1"/>
    <col min="7442" max="7442" width="17.85546875" customWidth="1"/>
    <col min="7681" max="7681" width="16.85546875" customWidth="1"/>
    <col min="7682" max="7682" width="25.42578125" customWidth="1"/>
    <col min="7689" max="7689" width="16.28515625" customWidth="1"/>
    <col min="7690" max="7691" width="16.42578125" customWidth="1"/>
    <col min="7692" max="7692" width="19.85546875" customWidth="1"/>
    <col min="7693" max="7693" width="21.28515625" customWidth="1"/>
    <col min="7694" max="7694" width="18.42578125" customWidth="1"/>
    <col min="7695" max="7695" width="17" customWidth="1"/>
    <col min="7696" max="7696" width="21.140625" customWidth="1"/>
    <col min="7697" max="7697" width="21" customWidth="1"/>
    <col min="7698" max="7698" width="17.85546875" customWidth="1"/>
    <col min="7937" max="7937" width="16.85546875" customWidth="1"/>
    <col min="7938" max="7938" width="25.42578125" customWidth="1"/>
    <col min="7945" max="7945" width="16.28515625" customWidth="1"/>
    <col min="7946" max="7947" width="16.42578125" customWidth="1"/>
    <col min="7948" max="7948" width="19.85546875" customWidth="1"/>
    <col min="7949" max="7949" width="21.28515625" customWidth="1"/>
    <col min="7950" max="7950" width="18.42578125" customWidth="1"/>
    <col min="7951" max="7951" width="17" customWidth="1"/>
    <col min="7952" max="7952" width="21.140625" customWidth="1"/>
    <col min="7953" max="7953" width="21" customWidth="1"/>
    <col min="7954" max="7954" width="17.85546875" customWidth="1"/>
    <col min="8193" max="8193" width="16.85546875" customWidth="1"/>
    <col min="8194" max="8194" width="25.42578125" customWidth="1"/>
    <col min="8201" max="8201" width="16.28515625" customWidth="1"/>
    <col min="8202" max="8203" width="16.42578125" customWidth="1"/>
    <col min="8204" max="8204" width="19.85546875" customWidth="1"/>
    <col min="8205" max="8205" width="21.28515625" customWidth="1"/>
    <col min="8206" max="8206" width="18.42578125" customWidth="1"/>
    <col min="8207" max="8207" width="17" customWidth="1"/>
    <col min="8208" max="8208" width="21.140625" customWidth="1"/>
    <col min="8209" max="8209" width="21" customWidth="1"/>
    <col min="8210" max="8210" width="17.85546875" customWidth="1"/>
    <col min="8449" max="8449" width="16.85546875" customWidth="1"/>
    <col min="8450" max="8450" width="25.42578125" customWidth="1"/>
    <col min="8457" max="8457" width="16.28515625" customWidth="1"/>
    <col min="8458" max="8459" width="16.42578125" customWidth="1"/>
    <col min="8460" max="8460" width="19.85546875" customWidth="1"/>
    <col min="8461" max="8461" width="21.28515625" customWidth="1"/>
    <col min="8462" max="8462" width="18.42578125" customWidth="1"/>
    <col min="8463" max="8463" width="17" customWidth="1"/>
    <col min="8464" max="8464" width="21.140625" customWidth="1"/>
    <col min="8465" max="8465" width="21" customWidth="1"/>
    <col min="8466" max="8466" width="17.85546875" customWidth="1"/>
    <col min="8705" max="8705" width="16.85546875" customWidth="1"/>
    <col min="8706" max="8706" width="25.42578125" customWidth="1"/>
    <col min="8713" max="8713" width="16.28515625" customWidth="1"/>
    <col min="8714" max="8715" width="16.42578125" customWidth="1"/>
    <col min="8716" max="8716" width="19.85546875" customWidth="1"/>
    <col min="8717" max="8717" width="21.28515625" customWidth="1"/>
    <col min="8718" max="8718" width="18.42578125" customWidth="1"/>
    <col min="8719" max="8719" width="17" customWidth="1"/>
    <col min="8720" max="8720" width="21.140625" customWidth="1"/>
    <col min="8721" max="8721" width="21" customWidth="1"/>
    <col min="8722" max="8722" width="17.85546875" customWidth="1"/>
    <col min="8961" max="8961" width="16.85546875" customWidth="1"/>
    <col min="8962" max="8962" width="25.42578125" customWidth="1"/>
    <col min="8969" max="8969" width="16.28515625" customWidth="1"/>
    <col min="8970" max="8971" width="16.42578125" customWidth="1"/>
    <col min="8972" max="8972" width="19.85546875" customWidth="1"/>
    <col min="8973" max="8973" width="21.28515625" customWidth="1"/>
    <col min="8974" max="8974" width="18.42578125" customWidth="1"/>
    <col min="8975" max="8975" width="17" customWidth="1"/>
    <col min="8976" max="8976" width="21.140625" customWidth="1"/>
    <col min="8977" max="8977" width="21" customWidth="1"/>
    <col min="8978" max="8978" width="17.85546875" customWidth="1"/>
    <col min="9217" max="9217" width="16.85546875" customWidth="1"/>
    <col min="9218" max="9218" width="25.42578125" customWidth="1"/>
    <col min="9225" max="9225" width="16.28515625" customWidth="1"/>
    <col min="9226" max="9227" width="16.42578125" customWidth="1"/>
    <col min="9228" max="9228" width="19.85546875" customWidth="1"/>
    <col min="9229" max="9229" width="21.28515625" customWidth="1"/>
    <col min="9230" max="9230" width="18.42578125" customWidth="1"/>
    <col min="9231" max="9231" width="17" customWidth="1"/>
    <col min="9232" max="9232" width="21.140625" customWidth="1"/>
    <col min="9233" max="9233" width="21" customWidth="1"/>
    <col min="9234" max="9234" width="17.85546875" customWidth="1"/>
    <col min="9473" max="9473" width="16.85546875" customWidth="1"/>
    <col min="9474" max="9474" width="25.42578125" customWidth="1"/>
    <col min="9481" max="9481" width="16.28515625" customWidth="1"/>
    <col min="9482" max="9483" width="16.42578125" customWidth="1"/>
    <col min="9484" max="9484" width="19.85546875" customWidth="1"/>
    <col min="9485" max="9485" width="21.28515625" customWidth="1"/>
    <col min="9486" max="9486" width="18.42578125" customWidth="1"/>
    <col min="9487" max="9487" width="17" customWidth="1"/>
    <col min="9488" max="9488" width="21.140625" customWidth="1"/>
    <col min="9489" max="9489" width="21" customWidth="1"/>
    <col min="9490" max="9490" width="17.85546875" customWidth="1"/>
    <col min="9729" max="9729" width="16.85546875" customWidth="1"/>
    <col min="9730" max="9730" width="25.42578125" customWidth="1"/>
    <col min="9737" max="9737" width="16.28515625" customWidth="1"/>
    <col min="9738" max="9739" width="16.42578125" customWidth="1"/>
    <col min="9740" max="9740" width="19.85546875" customWidth="1"/>
    <col min="9741" max="9741" width="21.28515625" customWidth="1"/>
    <col min="9742" max="9742" width="18.42578125" customWidth="1"/>
    <col min="9743" max="9743" width="17" customWidth="1"/>
    <col min="9744" max="9744" width="21.140625" customWidth="1"/>
    <col min="9745" max="9745" width="21" customWidth="1"/>
    <col min="9746" max="9746" width="17.85546875" customWidth="1"/>
    <col min="9985" max="9985" width="16.85546875" customWidth="1"/>
    <col min="9986" max="9986" width="25.42578125" customWidth="1"/>
    <col min="9993" max="9993" width="16.28515625" customWidth="1"/>
    <col min="9994" max="9995" width="16.42578125" customWidth="1"/>
    <col min="9996" max="9996" width="19.85546875" customWidth="1"/>
    <col min="9997" max="9997" width="21.28515625" customWidth="1"/>
    <col min="9998" max="9998" width="18.42578125" customWidth="1"/>
    <col min="9999" max="9999" width="17" customWidth="1"/>
    <col min="10000" max="10000" width="21.140625" customWidth="1"/>
    <col min="10001" max="10001" width="21" customWidth="1"/>
    <col min="10002" max="10002" width="17.85546875" customWidth="1"/>
    <col min="10241" max="10241" width="16.85546875" customWidth="1"/>
    <col min="10242" max="10242" width="25.42578125" customWidth="1"/>
    <col min="10249" max="10249" width="16.28515625" customWidth="1"/>
    <col min="10250" max="10251" width="16.42578125" customWidth="1"/>
    <col min="10252" max="10252" width="19.85546875" customWidth="1"/>
    <col min="10253" max="10253" width="21.28515625" customWidth="1"/>
    <col min="10254" max="10254" width="18.42578125" customWidth="1"/>
    <col min="10255" max="10255" width="17" customWidth="1"/>
    <col min="10256" max="10256" width="21.140625" customWidth="1"/>
    <col min="10257" max="10257" width="21" customWidth="1"/>
    <col min="10258" max="10258" width="17.85546875" customWidth="1"/>
    <col min="10497" max="10497" width="16.85546875" customWidth="1"/>
    <col min="10498" max="10498" width="25.42578125" customWidth="1"/>
    <col min="10505" max="10505" width="16.28515625" customWidth="1"/>
    <col min="10506" max="10507" width="16.42578125" customWidth="1"/>
    <col min="10508" max="10508" width="19.85546875" customWidth="1"/>
    <col min="10509" max="10509" width="21.28515625" customWidth="1"/>
    <col min="10510" max="10510" width="18.42578125" customWidth="1"/>
    <col min="10511" max="10511" width="17" customWidth="1"/>
    <col min="10512" max="10512" width="21.140625" customWidth="1"/>
    <col min="10513" max="10513" width="21" customWidth="1"/>
    <col min="10514" max="10514" width="17.85546875" customWidth="1"/>
    <col min="10753" max="10753" width="16.85546875" customWidth="1"/>
    <col min="10754" max="10754" width="25.42578125" customWidth="1"/>
    <col min="10761" max="10761" width="16.28515625" customWidth="1"/>
    <col min="10762" max="10763" width="16.42578125" customWidth="1"/>
    <col min="10764" max="10764" width="19.85546875" customWidth="1"/>
    <col min="10765" max="10765" width="21.28515625" customWidth="1"/>
    <col min="10766" max="10766" width="18.42578125" customWidth="1"/>
    <col min="10767" max="10767" width="17" customWidth="1"/>
    <col min="10768" max="10768" width="21.140625" customWidth="1"/>
    <col min="10769" max="10769" width="21" customWidth="1"/>
    <col min="10770" max="10770" width="17.85546875" customWidth="1"/>
    <col min="11009" max="11009" width="16.85546875" customWidth="1"/>
    <col min="11010" max="11010" width="25.42578125" customWidth="1"/>
    <col min="11017" max="11017" width="16.28515625" customWidth="1"/>
    <col min="11018" max="11019" width="16.42578125" customWidth="1"/>
    <col min="11020" max="11020" width="19.85546875" customWidth="1"/>
    <col min="11021" max="11021" width="21.28515625" customWidth="1"/>
    <col min="11022" max="11022" width="18.42578125" customWidth="1"/>
    <col min="11023" max="11023" width="17" customWidth="1"/>
    <col min="11024" max="11024" width="21.140625" customWidth="1"/>
    <col min="11025" max="11025" width="21" customWidth="1"/>
    <col min="11026" max="11026" width="17.85546875" customWidth="1"/>
    <col min="11265" max="11265" width="16.85546875" customWidth="1"/>
    <col min="11266" max="11266" width="25.42578125" customWidth="1"/>
    <col min="11273" max="11273" width="16.28515625" customWidth="1"/>
    <col min="11274" max="11275" width="16.42578125" customWidth="1"/>
    <col min="11276" max="11276" width="19.85546875" customWidth="1"/>
    <col min="11277" max="11277" width="21.28515625" customWidth="1"/>
    <col min="11278" max="11278" width="18.42578125" customWidth="1"/>
    <col min="11279" max="11279" width="17" customWidth="1"/>
    <col min="11280" max="11280" width="21.140625" customWidth="1"/>
    <col min="11281" max="11281" width="21" customWidth="1"/>
    <col min="11282" max="11282" width="17.85546875" customWidth="1"/>
    <col min="11521" max="11521" width="16.85546875" customWidth="1"/>
    <col min="11522" max="11522" width="25.42578125" customWidth="1"/>
    <col min="11529" max="11529" width="16.28515625" customWidth="1"/>
    <col min="11530" max="11531" width="16.42578125" customWidth="1"/>
    <col min="11532" max="11532" width="19.85546875" customWidth="1"/>
    <col min="11533" max="11533" width="21.28515625" customWidth="1"/>
    <col min="11534" max="11534" width="18.42578125" customWidth="1"/>
    <col min="11535" max="11535" width="17" customWidth="1"/>
    <col min="11536" max="11536" width="21.140625" customWidth="1"/>
    <col min="11537" max="11537" width="21" customWidth="1"/>
    <col min="11538" max="11538" width="17.85546875" customWidth="1"/>
    <col min="11777" max="11777" width="16.85546875" customWidth="1"/>
    <col min="11778" max="11778" width="25.42578125" customWidth="1"/>
    <col min="11785" max="11785" width="16.28515625" customWidth="1"/>
    <col min="11786" max="11787" width="16.42578125" customWidth="1"/>
    <col min="11788" max="11788" width="19.85546875" customWidth="1"/>
    <col min="11789" max="11789" width="21.28515625" customWidth="1"/>
    <col min="11790" max="11790" width="18.42578125" customWidth="1"/>
    <col min="11791" max="11791" width="17" customWidth="1"/>
    <col min="11792" max="11792" width="21.140625" customWidth="1"/>
    <col min="11793" max="11793" width="21" customWidth="1"/>
    <col min="11794" max="11794" width="17.85546875" customWidth="1"/>
    <col min="12033" max="12033" width="16.85546875" customWidth="1"/>
    <col min="12034" max="12034" width="25.42578125" customWidth="1"/>
    <col min="12041" max="12041" width="16.28515625" customWidth="1"/>
    <col min="12042" max="12043" width="16.42578125" customWidth="1"/>
    <col min="12044" max="12044" width="19.85546875" customWidth="1"/>
    <col min="12045" max="12045" width="21.28515625" customWidth="1"/>
    <col min="12046" max="12046" width="18.42578125" customWidth="1"/>
    <col min="12047" max="12047" width="17" customWidth="1"/>
    <col min="12048" max="12048" width="21.140625" customWidth="1"/>
    <col min="12049" max="12049" width="21" customWidth="1"/>
    <col min="12050" max="12050" width="17.85546875" customWidth="1"/>
    <col min="12289" max="12289" width="16.85546875" customWidth="1"/>
    <col min="12290" max="12290" width="25.42578125" customWidth="1"/>
    <col min="12297" max="12297" width="16.28515625" customWidth="1"/>
    <col min="12298" max="12299" width="16.42578125" customWidth="1"/>
    <col min="12300" max="12300" width="19.85546875" customWidth="1"/>
    <col min="12301" max="12301" width="21.28515625" customWidth="1"/>
    <col min="12302" max="12302" width="18.42578125" customWidth="1"/>
    <col min="12303" max="12303" width="17" customWidth="1"/>
    <col min="12304" max="12304" width="21.140625" customWidth="1"/>
    <col min="12305" max="12305" width="21" customWidth="1"/>
    <col min="12306" max="12306" width="17.85546875" customWidth="1"/>
    <col min="12545" max="12545" width="16.85546875" customWidth="1"/>
    <col min="12546" max="12546" width="25.42578125" customWidth="1"/>
    <col min="12553" max="12553" width="16.28515625" customWidth="1"/>
    <col min="12554" max="12555" width="16.42578125" customWidth="1"/>
    <col min="12556" max="12556" width="19.85546875" customWidth="1"/>
    <col min="12557" max="12557" width="21.28515625" customWidth="1"/>
    <col min="12558" max="12558" width="18.42578125" customWidth="1"/>
    <col min="12559" max="12559" width="17" customWidth="1"/>
    <col min="12560" max="12560" width="21.140625" customWidth="1"/>
    <col min="12561" max="12561" width="21" customWidth="1"/>
    <col min="12562" max="12562" width="17.85546875" customWidth="1"/>
    <col min="12801" max="12801" width="16.85546875" customWidth="1"/>
    <col min="12802" max="12802" width="25.42578125" customWidth="1"/>
    <col min="12809" max="12809" width="16.28515625" customWidth="1"/>
    <col min="12810" max="12811" width="16.42578125" customWidth="1"/>
    <col min="12812" max="12812" width="19.85546875" customWidth="1"/>
    <col min="12813" max="12813" width="21.28515625" customWidth="1"/>
    <col min="12814" max="12814" width="18.42578125" customWidth="1"/>
    <col min="12815" max="12815" width="17" customWidth="1"/>
    <col min="12816" max="12816" width="21.140625" customWidth="1"/>
    <col min="12817" max="12817" width="21" customWidth="1"/>
    <col min="12818" max="12818" width="17.85546875" customWidth="1"/>
    <col min="13057" max="13057" width="16.85546875" customWidth="1"/>
    <col min="13058" max="13058" width="25.42578125" customWidth="1"/>
    <col min="13065" max="13065" width="16.28515625" customWidth="1"/>
    <col min="13066" max="13067" width="16.42578125" customWidth="1"/>
    <col min="13068" max="13068" width="19.85546875" customWidth="1"/>
    <col min="13069" max="13069" width="21.28515625" customWidth="1"/>
    <col min="13070" max="13070" width="18.42578125" customWidth="1"/>
    <col min="13071" max="13071" width="17" customWidth="1"/>
    <col min="13072" max="13072" width="21.140625" customWidth="1"/>
    <col min="13073" max="13073" width="21" customWidth="1"/>
    <col min="13074" max="13074" width="17.85546875" customWidth="1"/>
    <col min="13313" max="13313" width="16.85546875" customWidth="1"/>
    <col min="13314" max="13314" width="25.42578125" customWidth="1"/>
    <col min="13321" max="13321" width="16.28515625" customWidth="1"/>
    <col min="13322" max="13323" width="16.42578125" customWidth="1"/>
    <col min="13324" max="13324" width="19.85546875" customWidth="1"/>
    <col min="13325" max="13325" width="21.28515625" customWidth="1"/>
    <col min="13326" max="13326" width="18.42578125" customWidth="1"/>
    <col min="13327" max="13327" width="17" customWidth="1"/>
    <col min="13328" max="13328" width="21.140625" customWidth="1"/>
    <col min="13329" max="13329" width="21" customWidth="1"/>
    <col min="13330" max="13330" width="17.85546875" customWidth="1"/>
    <col min="13569" max="13569" width="16.85546875" customWidth="1"/>
    <col min="13570" max="13570" width="25.42578125" customWidth="1"/>
    <col min="13577" max="13577" width="16.28515625" customWidth="1"/>
    <col min="13578" max="13579" width="16.42578125" customWidth="1"/>
    <col min="13580" max="13580" width="19.85546875" customWidth="1"/>
    <col min="13581" max="13581" width="21.28515625" customWidth="1"/>
    <col min="13582" max="13582" width="18.42578125" customWidth="1"/>
    <col min="13583" max="13583" width="17" customWidth="1"/>
    <col min="13584" max="13584" width="21.140625" customWidth="1"/>
    <col min="13585" max="13585" width="21" customWidth="1"/>
    <col min="13586" max="13586" width="17.85546875" customWidth="1"/>
    <col min="13825" max="13825" width="16.85546875" customWidth="1"/>
    <col min="13826" max="13826" width="25.42578125" customWidth="1"/>
    <col min="13833" max="13833" width="16.28515625" customWidth="1"/>
    <col min="13834" max="13835" width="16.42578125" customWidth="1"/>
    <col min="13836" max="13836" width="19.85546875" customWidth="1"/>
    <col min="13837" max="13837" width="21.28515625" customWidth="1"/>
    <col min="13838" max="13838" width="18.42578125" customWidth="1"/>
    <col min="13839" max="13839" width="17" customWidth="1"/>
    <col min="13840" max="13840" width="21.140625" customWidth="1"/>
    <col min="13841" max="13841" width="21" customWidth="1"/>
    <col min="13842" max="13842" width="17.85546875" customWidth="1"/>
    <col min="14081" max="14081" width="16.85546875" customWidth="1"/>
    <col min="14082" max="14082" width="25.42578125" customWidth="1"/>
    <col min="14089" max="14089" width="16.28515625" customWidth="1"/>
    <col min="14090" max="14091" width="16.42578125" customWidth="1"/>
    <col min="14092" max="14092" width="19.85546875" customWidth="1"/>
    <col min="14093" max="14093" width="21.28515625" customWidth="1"/>
    <col min="14094" max="14094" width="18.42578125" customWidth="1"/>
    <col min="14095" max="14095" width="17" customWidth="1"/>
    <col min="14096" max="14096" width="21.140625" customWidth="1"/>
    <col min="14097" max="14097" width="21" customWidth="1"/>
    <col min="14098" max="14098" width="17.85546875" customWidth="1"/>
    <col min="14337" max="14337" width="16.85546875" customWidth="1"/>
    <col min="14338" max="14338" width="25.42578125" customWidth="1"/>
    <col min="14345" max="14345" width="16.28515625" customWidth="1"/>
    <col min="14346" max="14347" width="16.42578125" customWidth="1"/>
    <col min="14348" max="14348" width="19.85546875" customWidth="1"/>
    <col min="14349" max="14349" width="21.28515625" customWidth="1"/>
    <col min="14350" max="14350" width="18.42578125" customWidth="1"/>
    <col min="14351" max="14351" width="17" customWidth="1"/>
    <col min="14352" max="14352" width="21.140625" customWidth="1"/>
    <col min="14353" max="14353" width="21" customWidth="1"/>
    <col min="14354" max="14354" width="17.85546875" customWidth="1"/>
    <col min="14593" max="14593" width="16.85546875" customWidth="1"/>
    <col min="14594" max="14594" width="25.42578125" customWidth="1"/>
    <col min="14601" max="14601" width="16.28515625" customWidth="1"/>
    <col min="14602" max="14603" width="16.42578125" customWidth="1"/>
    <col min="14604" max="14604" width="19.85546875" customWidth="1"/>
    <col min="14605" max="14605" width="21.28515625" customWidth="1"/>
    <col min="14606" max="14606" width="18.42578125" customWidth="1"/>
    <col min="14607" max="14607" width="17" customWidth="1"/>
    <col min="14608" max="14608" width="21.140625" customWidth="1"/>
    <col min="14609" max="14609" width="21" customWidth="1"/>
    <col min="14610" max="14610" width="17.85546875" customWidth="1"/>
    <col min="14849" max="14849" width="16.85546875" customWidth="1"/>
    <col min="14850" max="14850" width="25.42578125" customWidth="1"/>
    <col min="14857" max="14857" width="16.28515625" customWidth="1"/>
    <col min="14858" max="14859" width="16.42578125" customWidth="1"/>
    <col min="14860" max="14860" width="19.85546875" customWidth="1"/>
    <col min="14861" max="14861" width="21.28515625" customWidth="1"/>
    <col min="14862" max="14862" width="18.42578125" customWidth="1"/>
    <col min="14863" max="14863" width="17" customWidth="1"/>
    <col min="14864" max="14864" width="21.140625" customWidth="1"/>
    <col min="14865" max="14865" width="21" customWidth="1"/>
    <col min="14866" max="14866" width="17.85546875" customWidth="1"/>
    <col min="15105" max="15105" width="16.85546875" customWidth="1"/>
    <col min="15106" max="15106" width="25.42578125" customWidth="1"/>
    <col min="15113" max="15113" width="16.28515625" customWidth="1"/>
    <col min="15114" max="15115" width="16.42578125" customWidth="1"/>
    <col min="15116" max="15116" width="19.85546875" customWidth="1"/>
    <col min="15117" max="15117" width="21.28515625" customWidth="1"/>
    <col min="15118" max="15118" width="18.42578125" customWidth="1"/>
    <col min="15119" max="15119" width="17" customWidth="1"/>
    <col min="15120" max="15120" width="21.140625" customWidth="1"/>
    <col min="15121" max="15121" width="21" customWidth="1"/>
    <col min="15122" max="15122" width="17.85546875" customWidth="1"/>
    <col min="15361" max="15361" width="16.85546875" customWidth="1"/>
    <col min="15362" max="15362" width="25.42578125" customWidth="1"/>
    <col min="15369" max="15369" width="16.28515625" customWidth="1"/>
    <col min="15370" max="15371" width="16.42578125" customWidth="1"/>
    <col min="15372" max="15372" width="19.85546875" customWidth="1"/>
    <col min="15373" max="15373" width="21.28515625" customWidth="1"/>
    <col min="15374" max="15374" width="18.42578125" customWidth="1"/>
    <col min="15375" max="15375" width="17" customWidth="1"/>
    <col min="15376" max="15376" width="21.140625" customWidth="1"/>
    <col min="15377" max="15377" width="21" customWidth="1"/>
    <col min="15378" max="15378" width="17.85546875" customWidth="1"/>
    <col min="15617" max="15617" width="16.85546875" customWidth="1"/>
    <col min="15618" max="15618" width="25.42578125" customWidth="1"/>
    <col min="15625" max="15625" width="16.28515625" customWidth="1"/>
    <col min="15626" max="15627" width="16.42578125" customWidth="1"/>
    <col min="15628" max="15628" width="19.85546875" customWidth="1"/>
    <col min="15629" max="15629" width="21.28515625" customWidth="1"/>
    <col min="15630" max="15630" width="18.42578125" customWidth="1"/>
    <col min="15631" max="15631" width="17" customWidth="1"/>
    <col min="15632" max="15632" width="21.140625" customWidth="1"/>
    <col min="15633" max="15633" width="21" customWidth="1"/>
    <col min="15634" max="15634" width="17.85546875" customWidth="1"/>
    <col min="15873" max="15873" width="16.85546875" customWidth="1"/>
    <col min="15874" max="15874" width="25.42578125" customWidth="1"/>
    <col min="15881" max="15881" width="16.28515625" customWidth="1"/>
    <col min="15882" max="15883" width="16.42578125" customWidth="1"/>
    <col min="15884" max="15884" width="19.85546875" customWidth="1"/>
    <col min="15885" max="15885" width="21.28515625" customWidth="1"/>
    <col min="15886" max="15886" width="18.42578125" customWidth="1"/>
    <col min="15887" max="15887" width="17" customWidth="1"/>
    <col min="15888" max="15888" width="21.140625" customWidth="1"/>
    <col min="15889" max="15889" width="21" customWidth="1"/>
    <col min="15890" max="15890" width="17.85546875" customWidth="1"/>
    <col min="16129" max="16129" width="16.85546875" customWidth="1"/>
    <col min="16130" max="16130" width="25.42578125" customWidth="1"/>
    <col min="16137" max="16137" width="16.28515625" customWidth="1"/>
    <col min="16138" max="16139" width="16.42578125" customWidth="1"/>
    <col min="16140" max="16140" width="19.85546875" customWidth="1"/>
    <col min="16141" max="16141" width="21.28515625" customWidth="1"/>
    <col min="16142" max="16142" width="18.42578125" customWidth="1"/>
    <col min="16143" max="16143" width="17" customWidth="1"/>
    <col min="16144" max="16144" width="21.140625" customWidth="1"/>
    <col min="16145" max="16145" width="21" customWidth="1"/>
    <col min="16146" max="16146" width="17.85546875" customWidth="1"/>
  </cols>
  <sheetData>
    <row r="1" spans="1:18" ht="18.75" thickBot="1" x14ac:dyDescent="0.3">
      <c r="A1" s="1" t="s">
        <v>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</row>
    <row r="2" spans="1:18" ht="39" customHeight="1" thickBot="1" x14ac:dyDescent="0.3">
      <c r="A2" s="3" t="s">
        <v>0</v>
      </c>
      <c r="B2" s="3" t="s">
        <v>1</v>
      </c>
      <c r="C2" s="4" t="s">
        <v>2</v>
      </c>
      <c r="D2" s="5"/>
      <c r="E2" s="5"/>
      <c r="F2" s="5"/>
      <c r="G2" s="5"/>
      <c r="H2" s="6"/>
      <c r="I2" s="7" t="s">
        <v>3</v>
      </c>
      <c r="J2" s="8" t="s">
        <v>4</v>
      </c>
      <c r="K2" s="8" t="s">
        <v>5</v>
      </c>
      <c r="L2" s="7" t="s">
        <v>6</v>
      </c>
      <c r="M2" s="7" t="s">
        <v>7</v>
      </c>
      <c r="N2" s="7" t="s">
        <v>8</v>
      </c>
      <c r="O2" s="7" t="s">
        <v>9</v>
      </c>
      <c r="P2" s="9" t="s">
        <v>10</v>
      </c>
      <c r="Q2" s="7" t="s">
        <v>11</v>
      </c>
      <c r="R2" s="7" t="s">
        <v>12</v>
      </c>
    </row>
    <row r="3" spans="1:18" ht="56.25" customHeight="1" thickBot="1" x14ac:dyDescent="0.3">
      <c r="A3" s="10"/>
      <c r="B3" s="10"/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2" t="s">
        <v>18</v>
      </c>
      <c r="I3" s="13"/>
      <c r="J3" s="14"/>
      <c r="K3" s="14"/>
      <c r="L3" s="13"/>
      <c r="M3" s="13"/>
      <c r="N3" s="13"/>
      <c r="O3" s="13"/>
      <c r="P3" s="15"/>
      <c r="Q3" s="13"/>
      <c r="R3" s="13"/>
    </row>
    <row r="4" spans="1:18" ht="33" customHeight="1" x14ac:dyDescent="0.25">
      <c r="A4" s="16" t="s">
        <v>19</v>
      </c>
      <c r="B4" s="17" t="s">
        <v>20</v>
      </c>
      <c r="C4" s="18">
        <v>3.5978600000000007</v>
      </c>
      <c r="D4" s="18">
        <v>3.2000000000000002E-3</v>
      </c>
      <c r="E4" s="19">
        <v>0</v>
      </c>
      <c r="F4" s="19">
        <v>0</v>
      </c>
      <c r="G4" s="18">
        <v>0.37580999999999998</v>
      </c>
      <c r="H4" s="20">
        <f>SUM(C4:G4)</f>
        <v>3.9768700000000008</v>
      </c>
      <c r="I4" s="21">
        <f>(298.01+53.84+17.98)/744</f>
        <v>0.49708333333333338</v>
      </c>
      <c r="J4" s="22">
        <f>128.41/744</f>
        <v>0.17259408602150536</v>
      </c>
      <c r="K4" s="23">
        <v>0</v>
      </c>
      <c r="L4" s="24">
        <f>H4+I4+J4</f>
        <v>4.6465474193548397</v>
      </c>
      <c r="M4" s="25">
        <f>2.368+2.435+2.178</f>
        <v>6.9809999999999999</v>
      </c>
      <c r="N4" s="26">
        <f>Q4-L4</f>
        <v>2.0734525806451609</v>
      </c>
      <c r="O4" s="27">
        <f>N4</f>
        <v>2.0734525806451609</v>
      </c>
      <c r="P4" s="28">
        <f>M4*365*24</f>
        <v>61153.56</v>
      </c>
      <c r="Q4" s="29">
        <f>2.24*3</f>
        <v>6.7200000000000006</v>
      </c>
      <c r="R4" s="30">
        <f>L4/M4*100</f>
        <v>66.559911464759196</v>
      </c>
    </row>
    <row r="5" spans="1:18" x14ac:dyDescent="0.25">
      <c r="A5" s="31" t="s">
        <v>21</v>
      </c>
      <c r="B5" s="32" t="s">
        <v>22</v>
      </c>
      <c r="C5" s="33">
        <v>0.34899999999999998</v>
      </c>
      <c r="D5" s="33">
        <v>0</v>
      </c>
      <c r="E5" s="34">
        <v>0</v>
      </c>
      <c r="F5" s="34">
        <v>0</v>
      </c>
      <c r="G5" s="33">
        <v>7.4999999999999997E-3</v>
      </c>
      <c r="H5" s="35">
        <f t="shared" ref="H5:H24" si="0">SUM(C5:G5)</f>
        <v>0.35649999999999998</v>
      </c>
      <c r="I5" s="21">
        <f>(41.2+1.61)/744</f>
        <v>5.7540322580645162E-2</v>
      </c>
      <c r="J5" s="36">
        <f>10.07/744</f>
        <v>1.3534946236559139E-2</v>
      </c>
      <c r="K5" s="37">
        <v>0</v>
      </c>
      <c r="L5" s="38">
        <f t="shared" ref="L5:L21" si="1">H5+I5+J5</f>
        <v>0.42757526881720431</v>
      </c>
      <c r="M5" s="39">
        <f>0.085+0.452+0.417</f>
        <v>0.95399999999999996</v>
      </c>
      <c r="N5" s="40">
        <f t="shared" ref="N5:N24" si="2">Q5-L5</f>
        <v>0.73742473118279572</v>
      </c>
      <c r="O5" s="41">
        <f t="shared" ref="O5:O21" si="3">N5</f>
        <v>0.73742473118279572</v>
      </c>
      <c r="P5" s="42">
        <f t="shared" ref="P5:P24" si="4">M5*365*24</f>
        <v>8357.0399999999991</v>
      </c>
      <c r="Q5" s="43">
        <v>1.165</v>
      </c>
      <c r="R5" s="44">
        <f t="shared" ref="R5:R25" si="5">L5/M5*100</f>
        <v>44.819210567841125</v>
      </c>
    </row>
    <row r="6" spans="1:18" x14ac:dyDescent="0.25">
      <c r="A6" s="31" t="s">
        <v>23</v>
      </c>
      <c r="B6" s="32" t="s">
        <v>24</v>
      </c>
      <c r="C6" s="33">
        <v>0.71088000000000029</v>
      </c>
      <c r="D6" s="33">
        <v>0</v>
      </c>
      <c r="E6" s="34">
        <v>0</v>
      </c>
      <c r="F6" s="34">
        <v>0</v>
      </c>
      <c r="G6" s="33">
        <v>1.259E-2</v>
      </c>
      <c r="H6" s="35">
        <f t="shared" si="0"/>
        <v>0.72347000000000028</v>
      </c>
      <c r="I6" s="21">
        <f>(100.18+3.29)/744</f>
        <v>0.13907258064516131</v>
      </c>
      <c r="J6" s="36">
        <f>11.41/744</f>
        <v>1.5336021505376345E-2</v>
      </c>
      <c r="K6" s="37">
        <v>0</v>
      </c>
      <c r="L6" s="38">
        <f t="shared" si="1"/>
        <v>0.87787860215053803</v>
      </c>
      <c r="M6" s="39">
        <f>0.4+0.29+0.288</f>
        <v>0.97799999999999998</v>
      </c>
      <c r="N6" s="40">
        <f t="shared" si="2"/>
        <v>7.0121397849461919E-2</v>
      </c>
      <c r="O6" s="41">
        <f t="shared" si="3"/>
        <v>7.0121397849461919E-2</v>
      </c>
      <c r="P6" s="42">
        <f t="shared" si="4"/>
        <v>8567.2799999999988</v>
      </c>
      <c r="Q6" s="43">
        <v>0.94799999999999995</v>
      </c>
      <c r="R6" s="44">
        <f t="shared" si="5"/>
        <v>89.762638256701237</v>
      </c>
    </row>
    <row r="7" spans="1:18" x14ac:dyDescent="0.25">
      <c r="A7" s="31" t="s">
        <v>25</v>
      </c>
      <c r="B7" s="32" t="s">
        <v>26</v>
      </c>
      <c r="C7" s="33">
        <v>0.36099999999999999</v>
      </c>
      <c r="D7" s="33">
        <v>0</v>
      </c>
      <c r="E7" s="34">
        <v>0</v>
      </c>
      <c r="F7" s="34">
        <v>0</v>
      </c>
      <c r="G7" s="33">
        <v>6.3300000000000006E-3</v>
      </c>
      <c r="H7" s="35">
        <f t="shared" si="0"/>
        <v>0.36732999999999999</v>
      </c>
      <c r="I7" s="21">
        <f>(10.32+1.46)/744</f>
        <v>1.5833333333333335E-2</v>
      </c>
      <c r="J7" s="36">
        <f>12.75/744</f>
        <v>1.7137096774193547E-2</v>
      </c>
      <c r="K7" s="37">
        <v>0</v>
      </c>
      <c r="L7" s="38">
        <f t="shared" si="1"/>
        <v>0.40030043010752686</v>
      </c>
      <c r="M7" s="39">
        <f>0.3+0.297+0.154</f>
        <v>0.751</v>
      </c>
      <c r="N7" s="40">
        <f t="shared" si="2"/>
        <v>0.26879956989247317</v>
      </c>
      <c r="O7" s="41">
        <f t="shared" si="3"/>
        <v>0.26879956989247317</v>
      </c>
      <c r="P7" s="42">
        <f t="shared" si="4"/>
        <v>6578.76</v>
      </c>
      <c r="Q7" s="43">
        <v>0.66910000000000003</v>
      </c>
      <c r="R7" s="44">
        <f t="shared" si="5"/>
        <v>53.302320919777216</v>
      </c>
    </row>
    <row r="8" spans="1:18" ht="15" customHeight="1" x14ac:dyDescent="0.25">
      <c r="A8" s="31" t="s">
        <v>27</v>
      </c>
      <c r="B8" s="45" t="s">
        <v>28</v>
      </c>
      <c r="C8" s="33">
        <v>0.38644000000000001</v>
      </c>
      <c r="D8" s="33">
        <v>0.01</v>
      </c>
      <c r="E8" s="34">
        <v>0</v>
      </c>
      <c r="F8" s="34">
        <v>0</v>
      </c>
      <c r="G8" s="33">
        <v>2.1250000000000002E-2</v>
      </c>
      <c r="H8" s="35">
        <f t="shared" si="0"/>
        <v>0.41769000000000001</v>
      </c>
      <c r="I8" s="21">
        <f>(107.68+1.81)/744</f>
        <v>0.14716397849462368</v>
      </c>
      <c r="J8" s="36">
        <f>20.96/744</f>
        <v>2.8172043010752688E-2</v>
      </c>
      <c r="K8" s="37">
        <v>0</v>
      </c>
      <c r="L8" s="38">
        <f t="shared" si="1"/>
        <v>0.59302602150537642</v>
      </c>
      <c r="M8" s="39">
        <f>0.35+0.268+0.262</f>
        <v>0.88</v>
      </c>
      <c r="N8" s="40">
        <f t="shared" si="2"/>
        <v>0.35497397849462353</v>
      </c>
      <c r="O8" s="41">
        <f t="shared" si="3"/>
        <v>0.35497397849462353</v>
      </c>
      <c r="P8" s="46">
        <f t="shared" si="4"/>
        <v>7708.7999999999993</v>
      </c>
      <c r="Q8" s="43">
        <v>0.94799999999999995</v>
      </c>
      <c r="R8" s="44">
        <f t="shared" si="5"/>
        <v>67.389320625610964</v>
      </c>
    </row>
    <row r="9" spans="1:18" x14ac:dyDescent="0.25">
      <c r="A9" s="31" t="s">
        <v>29</v>
      </c>
      <c r="B9" s="45" t="s">
        <v>30</v>
      </c>
      <c r="C9" s="33">
        <v>1.2936300000000001</v>
      </c>
      <c r="D9" s="33">
        <v>2.0499999999999997E-2</v>
      </c>
      <c r="E9" s="34">
        <v>0</v>
      </c>
      <c r="F9" s="34">
        <v>0</v>
      </c>
      <c r="G9" s="33">
        <v>0.14544000000000001</v>
      </c>
      <c r="H9" s="35">
        <f t="shared" si="0"/>
        <v>1.45957</v>
      </c>
      <c r="I9" s="21">
        <f>(31.18+6.04)/744</f>
        <v>5.0026881720430107E-2</v>
      </c>
      <c r="J9" s="36">
        <f>24.45/744</f>
        <v>3.2862903225806449E-2</v>
      </c>
      <c r="K9" s="37">
        <v>0</v>
      </c>
      <c r="L9" s="38">
        <f t="shared" si="1"/>
        <v>1.5424597849462367</v>
      </c>
      <c r="M9" s="47">
        <v>1.72</v>
      </c>
      <c r="N9" s="40">
        <f t="shared" si="2"/>
        <v>0.17754021505376327</v>
      </c>
      <c r="O9" s="41">
        <f t="shared" si="3"/>
        <v>0.17754021505376327</v>
      </c>
      <c r="P9" s="46">
        <f t="shared" si="4"/>
        <v>15067.199999999999</v>
      </c>
      <c r="Q9" s="43">
        <v>1.72</v>
      </c>
      <c r="R9" s="44">
        <f t="shared" si="5"/>
        <v>89.677894473618409</v>
      </c>
    </row>
    <row r="10" spans="1:18" x14ac:dyDescent="0.25">
      <c r="A10" s="31" t="s">
        <v>31</v>
      </c>
      <c r="B10" s="45" t="s">
        <v>32</v>
      </c>
      <c r="C10" s="33">
        <v>2.1968999999999999</v>
      </c>
      <c r="D10" s="33">
        <v>4.5999999999999999E-3</v>
      </c>
      <c r="E10" s="33">
        <v>1.2E-2</v>
      </c>
      <c r="F10" s="34">
        <v>0</v>
      </c>
      <c r="G10" s="33">
        <v>0.17810000000000001</v>
      </c>
      <c r="H10" s="35">
        <f t="shared" si="0"/>
        <v>2.3915999999999999</v>
      </c>
      <c r="I10" s="21">
        <f>(45.82+12.45)/744</f>
        <v>7.8319892473118269E-2</v>
      </c>
      <c r="J10" s="36">
        <f>49.58/744</f>
        <v>6.6639784946236555E-2</v>
      </c>
      <c r="K10" s="37">
        <v>0</v>
      </c>
      <c r="L10" s="38">
        <f t="shared" si="1"/>
        <v>2.5365596774193544</v>
      </c>
      <c r="M10" s="39">
        <f>2.697+2.697</f>
        <v>5.3940000000000001</v>
      </c>
      <c r="N10" s="48">
        <f>2.697+2.697-L10</f>
        <v>2.8574403225806457</v>
      </c>
      <c r="O10" s="41">
        <f t="shared" si="3"/>
        <v>2.8574403225806457</v>
      </c>
      <c r="P10" s="46">
        <f t="shared" si="4"/>
        <v>47251.44</v>
      </c>
      <c r="Q10" s="43">
        <v>8</v>
      </c>
      <c r="R10" s="44">
        <f t="shared" si="5"/>
        <v>47.025578001841943</v>
      </c>
    </row>
    <row r="11" spans="1:18" x14ac:dyDescent="0.25">
      <c r="A11" s="31" t="s">
        <v>33</v>
      </c>
      <c r="B11" s="45" t="s">
        <v>34</v>
      </c>
      <c r="C11" s="33">
        <v>15.880480000000002</v>
      </c>
      <c r="D11" s="33">
        <v>0</v>
      </c>
      <c r="E11" s="34">
        <v>0</v>
      </c>
      <c r="F11" s="34">
        <v>0</v>
      </c>
      <c r="G11" s="33">
        <v>0</v>
      </c>
      <c r="H11" s="35">
        <f t="shared" si="0"/>
        <v>15.880480000000002</v>
      </c>
      <c r="I11" s="21">
        <f>(1105.91+3.81+77.55)/744</f>
        <v>1.5957930107526881</v>
      </c>
      <c r="J11" s="36">
        <f>114.1/744</f>
        <v>0.15336021505376343</v>
      </c>
      <c r="K11" s="36">
        <v>8.1449999999999995E-3</v>
      </c>
      <c r="L11" s="38">
        <f>H11+I11+J11+K11</f>
        <v>17.637778225806453</v>
      </c>
      <c r="M11" s="39">
        <f>1.804+3.559+3.846+3.706+7.247</f>
        <v>20.161999999999999</v>
      </c>
      <c r="N11" s="48">
        <f>1.804+3.559+3.846+3.706+7.247-L11</f>
        <v>2.5242217741935455</v>
      </c>
      <c r="O11" s="41">
        <f>N11-0.4401</f>
        <v>2.0841217741935454</v>
      </c>
      <c r="P11" s="46">
        <f t="shared" si="4"/>
        <v>176619.12</v>
      </c>
      <c r="Q11" s="43">
        <v>21.9</v>
      </c>
      <c r="R11" s="44">
        <f t="shared" si="5"/>
        <v>87.4803006934156</v>
      </c>
    </row>
    <row r="12" spans="1:18" x14ac:dyDescent="0.25">
      <c r="A12" s="31" t="s">
        <v>35</v>
      </c>
      <c r="B12" s="45" t="s">
        <v>36</v>
      </c>
      <c r="C12" s="33">
        <v>0.63701000000000008</v>
      </c>
      <c r="D12" s="33">
        <v>0</v>
      </c>
      <c r="E12" s="34">
        <v>0</v>
      </c>
      <c r="F12" s="34">
        <v>0</v>
      </c>
      <c r="G12" s="33">
        <v>2.5590000000000002E-2</v>
      </c>
      <c r="H12" s="35">
        <f t="shared" si="0"/>
        <v>0.66260000000000008</v>
      </c>
      <c r="I12" s="21">
        <f>(46.69+2.66)/744</f>
        <v>6.6330645161290308E-2</v>
      </c>
      <c r="J12" s="36">
        <f>20.76/744</f>
        <v>2.7903225806451614E-2</v>
      </c>
      <c r="K12" s="37">
        <v>0</v>
      </c>
      <c r="L12" s="38">
        <f t="shared" si="1"/>
        <v>0.75683387096774202</v>
      </c>
      <c r="M12" s="39">
        <f>0.184+0.184+0.154+0.166</f>
        <v>0.68800000000000006</v>
      </c>
      <c r="N12" s="40">
        <f t="shared" si="2"/>
        <v>-3.3870967741989055E-5</v>
      </c>
      <c r="O12" s="49" t="s">
        <v>37</v>
      </c>
      <c r="P12" s="46">
        <f t="shared" si="4"/>
        <v>6026.880000000001</v>
      </c>
      <c r="Q12" s="43">
        <v>0.75680000000000003</v>
      </c>
      <c r="R12" s="44">
        <f t="shared" si="5"/>
        <v>110.00492310577646</v>
      </c>
    </row>
    <row r="13" spans="1:18" ht="33.75" x14ac:dyDescent="0.25">
      <c r="A13" s="31" t="s">
        <v>38</v>
      </c>
      <c r="B13" s="45" t="s">
        <v>39</v>
      </c>
      <c r="C13" s="33">
        <v>0.21560000000000001</v>
      </c>
      <c r="D13" s="33">
        <v>5.4000000000000003E-3</v>
      </c>
      <c r="E13" s="34">
        <v>0</v>
      </c>
      <c r="F13" s="34">
        <v>0</v>
      </c>
      <c r="G13" s="33">
        <v>8.0000000000000002E-3</v>
      </c>
      <c r="H13" s="35">
        <f t="shared" si="0"/>
        <v>0.22900000000000001</v>
      </c>
      <c r="I13" s="21">
        <f>(20.22+1.01)/744</f>
        <v>2.8534946236559139E-2</v>
      </c>
      <c r="J13" s="36">
        <f>9.71/744</f>
        <v>1.3051075268817205E-2</v>
      </c>
      <c r="K13" s="37">
        <v>0</v>
      </c>
      <c r="L13" s="38">
        <f t="shared" si="1"/>
        <v>0.27058602150537636</v>
      </c>
      <c r="M13" s="50">
        <f>0.208+0.203+0.204</f>
        <v>0.61499999999999999</v>
      </c>
      <c r="N13" s="40">
        <f t="shared" si="2"/>
        <v>1.5594139784946237</v>
      </c>
      <c r="O13" s="49" t="s">
        <v>37</v>
      </c>
      <c r="P13" s="46">
        <f t="shared" si="4"/>
        <v>5387.4</v>
      </c>
      <c r="Q13" s="43">
        <f>0.61*3</f>
        <v>1.83</v>
      </c>
      <c r="R13" s="44">
        <f t="shared" si="5"/>
        <v>43.997727074044938</v>
      </c>
    </row>
    <row r="14" spans="1:18" ht="22.5" x14ac:dyDescent="0.25">
      <c r="A14" s="31" t="s">
        <v>40</v>
      </c>
      <c r="B14" s="45" t="s">
        <v>41</v>
      </c>
      <c r="C14" s="33">
        <v>1.2821799999999999</v>
      </c>
      <c r="D14" s="33">
        <v>0</v>
      </c>
      <c r="E14" s="34">
        <v>0</v>
      </c>
      <c r="F14" s="34">
        <v>0</v>
      </c>
      <c r="G14" s="33">
        <v>1.183E-2</v>
      </c>
      <c r="H14" s="35">
        <f t="shared" si="0"/>
        <v>1.2940099999999999</v>
      </c>
      <c r="I14" s="21">
        <f>(49.98+5.91)/744</f>
        <v>7.5120967741935482E-2</v>
      </c>
      <c r="J14" s="36">
        <f>13.02/744</f>
        <v>1.7499999999999998E-2</v>
      </c>
      <c r="K14" s="37">
        <v>0</v>
      </c>
      <c r="L14" s="38">
        <f t="shared" si="1"/>
        <v>1.3866309677419355</v>
      </c>
      <c r="M14" s="50">
        <f>0.949+0.931+0.08</f>
        <v>1.96</v>
      </c>
      <c r="N14" s="40">
        <f>0.949+0.931+0.08-L14</f>
        <v>0.57336903225806446</v>
      </c>
      <c r="O14" s="49">
        <f>N14</f>
        <v>0.57336903225806446</v>
      </c>
      <c r="P14" s="46">
        <f t="shared" si="4"/>
        <v>17169.599999999999</v>
      </c>
      <c r="Q14" s="43">
        <v>2.0118999999999998</v>
      </c>
      <c r="R14" s="44">
        <f t="shared" si="5"/>
        <v>70.746477946017123</v>
      </c>
    </row>
    <row r="15" spans="1:18" ht="45" x14ac:dyDescent="0.25">
      <c r="A15" s="31" t="s">
        <v>42</v>
      </c>
      <c r="B15" s="45" t="s">
        <v>43</v>
      </c>
      <c r="C15" s="33">
        <v>2.35066</v>
      </c>
      <c r="D15" s="33">
        <v>0.19900000000000001</v>
      </c>
      <c r="E15" s="34">
        <v>0</v>
      </c>
      <c r="F15" s="34">
        <v>0</v>
      </c>
      <c r="G15" s="33">
        <v>0.5200800000000001</v>
      </c>
      <c r="H15" s="35">
        <f t="shared" si="0"/>
        <v>3.0697399999999999</v>
      </c>
      <c r="I15" s="21">
        <f>(55.35+11.19)/744</f>
        <v>8.9435483870967752E-2</v>
      </c>
      <c r="J15" s="36">
        <f>31.2/744</f>
        <v>4.1935483870967738E-2</v>
      </c>
      <c r="K15" s="37">
        <v>0</v>
      </c>
      <c r="L15" s="38">
        <f t="shared" si="1"/>
        <v>3.2011109677419354</v>
      </c>
      <c r="M15" s="39">
        <f>0.56+0.544+0.573+0.58+0.589+0.688+0.569+0.54</f>
        <v>4.6429999999999998</v>
      </c>
      <c r="N15" s="40">
        <f t="shared" si="2"/>
        <v>1.4788890322580643</v>
      </c>
      <c r="O15" s="49" t="s">
        <v>37</v>
      </c>
      <c r="P15" s="46">
        <f t="shared" si="4"/>
        <v>40672.68</v>
      </c>
      <c r="Q15" s="43">
        <v>4.68</v>
      </c>
      <c r="R15" s="44">
        <f t="shared" si="5"/>
        <v>68.944884078008513</v>
      </c>
    </row>
    <row r="16" spans="1:18" ht="33.75" x14ac:dyDescent="0.25">
      <c r="A16" s="31" t="s">
        <v>44</v>
      </c>
      <c r="B16" s="45" t="s">
        <v>45</v>
      </c>
      <c r="C16" s="33">
        <v>4.7844100000000012</v>
      </c>
      <c r="D16" s="33">
        <v>0.12998000000000001</v>
      </c>
      <c r="E16" s="34">
        <v>0</v>
      </c>
      <c r="F16" s="34">
        <v>0</v>
      </c>
      <c r="G16" s="33">
        <v>0.42693000000000003</v>
      </c>
      <c r="H16" s="35">
        <f t="shared" si="0"/>
        <v>5.3413200000000014</v>
      </c>
      <c r="I16" s="21">
        <f>(318.87+23.91)/744</f>
        <v>0.46072580645161293</v>
      </c>
      <c r="J16" s="36">
        <f>67.75/744</f>
        <v>9.106182795698925E-2</v>
      </c>
      <c r="K16" s="37">
        <v>0</v>
      </c>
      <c r="L16" s="38">
        <f t="shared" si="1"/>
        <v>5.8931076344086035</v>
      </c>
      <c r="M16" s="39">
        <f>0.827+0.649+0.806+0.807+0.603+0.806+0.818+0.716+0.826</f>
        <v>6.8579999999999997</v>
      </c>
      <c r="N16" s="40">
        <f t="shared" si="2"/>
        <v>1.8468923655913967</v>
      </c>
      <c r="O16" s="49" t="s">
        <v>37</v>
      </c>
      <c r="P16" s="46">
        <f t="shared" si="4"/>
        <v>60076.08</v>
      </c>
      <c r="Q16" s="43">
        <v>7.74</v>
      </c>
      <c r="R16" s="44">
        <f t="shared" si="5"/>
        <v>85.9304117003296</v>
      </c>
    </row>
    <row r="17" spans="1:18" ht="45" x14ac:dyDescent="0.25">
      <c r="A17" s="31" t="s">
        <v>46</v>
      </c>
      <c r="B17" s="45" t="s">
        <v>47</v>
      </c>
      <c r="C17" s="33">
        <v>0</v>
      </c>
      <c r="D17" s="33">
        <v>6.3299999999999995E-2</v>
      </c>
      <c r="E17" s="34">
        <v>0</v>
      </c>
      <c r="F17" s="34">
        <v>0</v>
      </c>
      <c r="G17" s="33">
        <v>0.40930000000000011</v>
      </c>
      <c r="H17" s="35">
        <f t="shared" si="0"/>
        <v>0.47260000000000013</v>
      </c>
      <c r="I17" s="21">
        <f>(112.16+0.27)/744</f>
        <v>0.15111559139784944</v>
      </c>
      <c r="J17" s="36">
        <f>18.2/744</f>
        <v>2.4462365591397847E-2</v>
      </c>
      <c r="K17" s="37">
        <v>0</v>
      </c>
      <c r="L17" s="38">
        <f t="shared" si="1"/>
        <v>0.64817795698924741</v>
      </c>
      <c r="M17" s="39">
        <f>0.379+0.344+0.507+0.349</f>
        <v>1.579</v>
      </c>
      <c r="N17" s="40">
        <f>0.379+0.344+0.507+0.356-L17</f>
        <v>0.93782204301075245</v>
      </c>
      <c r="O17" s="41">
        <f t="shared" si="3"/>
        <v>0.93782204301075245</v>
      </c>
      <c r="P17" s="46">
        <f t="shared" si="4"/>
        <v>13832.04</v>
      </c>
      <c r="Q17" s="43">
        <v>2.13</v>
      </c>
      <c r="R17" s="44">
        <f>L17/M17*100</f>
        <v>41.049902279243028</v>
      </c>
    </row>
    <row r="18" spans="1:18" ht="33" customHeight="1" x14ac:dyDescent="0.25">
      <c r="A18" s="31" t="s">
        <v>48</v>
      </c>
      <c r="B18" s="45" t="s">
        <v>49</v>
      </c>
      <c r="C18" s="33">
        <v>36.09205</v>
      </c>
      <c r="D18" s="33">
        <v>0.58309999999999995</v>
      </c>
      <c r="E18" s="33">
        <v>0.71250000000000002</v>
      </c>
      <c r="F18" s="34">
        <v>0</v>
      </c>
      <c r="G18" s="33">
        <v>2.6253000000000006</v>
      </c>
      <c r="H18" s="35">
        <f t="shared" si="0"/>
        <v>40.012950000000004</v>
      </c>
      <c r="I18" s="21">
        <f>(1640.37+1449.81+181.96)/744</f>
        <v>4.3980376344086016</v>
      </c>
      <c r="J18" s="36">
        <f>674.28/744</f>
        <v>0.90629032258064512</v>
      </c>
      <c r="K18" s="37">
        <v>0</v>
      </c>
      <c r="L18" s="38">
        <f t="shared" si="1"/>
        <v>45.317277956989251</v>
      </c>
      <c r="M18" s="39">
        <f>6.516+5.141+13.301+13.815+13.739</f>
        <v>52.512</v>
      </c>
      <c r="N18" s="40">
        <f>52.512-L18</f>
        <v>7.1947220430107492</v>
      </c>
      <c r="O18" s="51">
        <f>N18</f>
        <v>7.1947220430107492</v>
      </c>
      <c r="P18" s="46">
        <f t="shared" si="4"/>
        <v>460005.12</v>
      </c>
      <c r="Q18" s="52">
        <v>78.400000000000006</v>
      </c>
      <c r="R18" s="44">
        <f t="shared" si="5"/>
        <v>86.298899217301283</v>
      </c>
    </row>
    <row r="19" spans="1:18" ht="15" customHeight="1" x14ac:dyDescent="0.25">
      <c r="A19" s="31" t="s">
        <v>50</v>
      </c>
      <c r="B19" s="53" t="s">
        <v>51</v>
      </c>
      <c r="C19" s="33">
        <v>0.24740000000000001</v>
      </c>
      <c r="D19" s="33">
        <v>0</v>
      </c>
      <c r="E19" s="34">
        <v>0</v>
      </c>
      <c r="F19" s="34">
        <v>0</v>
      </c>
      <c r="G19" s="33">
        <v>0</v>
      </c>
      <c r="H19" s="35">
        <f t="shared" si="0"/>
        <v>0.24740000000000001</v>
      </c>
      <c r="I19" s="21">
        <f>(22.01+1.14)/744</f>
        <v>3.1115591397849467E-2</v>
      </c>
      <c r="J19" s="36">
        <f>2.21/744</f>
        <v>2.9704301075268815E-3</v>
      </c>
      <c r="K19" s="37">
        <v>0</v>
      </c>
      <c r="L19" s="38">
        <f t="shared" si="1"/>
        <v>0.28148602150537638</v>
      </c>
      <c r="M19" s="39">
        <f>0.192+0.193</f>
        <v>0.38500000000000001</v>
      </c>
      <c r="N19" s="40">
        <f t="shared" si="2"/>
        <v>0.10451397849462363</v>
      </c>
      <c r="O19" s="41">
        <f t="shared" si="3"/>
        <v>0.10451397849462363</v>
      </c>
      <c r="P19" s="46">
        <f t="shared" si="4"/>
        <v>3372.6000000000004</v>
      </c>
      <c r="Q19" s="43">
        <v>0.38600000000000001</v>
      </c>
      <c r="R19" s="44">
        <f t="shared" si="5"/>
        <v>73.113252339058803</v>
      </c>
    </row>
    <row r="20" spans="1:18" ht="12.75" customHeight="1" x14ac:dyDescent="0.25">
      <c r="A20" s="31" t="s">
        <v>52</v>
      </c>
      <c r="B20" s="53" t="s">
        <v>53</v>
      </c>
      <c r="C20" s="33">
        <v>0.51493</v>
      </c>
      <c r="D20" s="33">
        <v>0</v>
      </c>
      <c r="E20" s="34">
        <v>0</v>
      </c>
      <c r="F20" s="34">
        <v>0</v>
      </c>
      <c r="G20" s="33">
        <v>6.2500000000000003E-3</v>
      </c>
      <c r="H20" s="35">
        <f t="shared" si="0"/>
        <v>0.52117999999999998</v>
      </c>
      <c r="I20" s="21">
        <f>(14.84+2.37)/744</f>
        <v>2.3131720430107527E-2</v>
      </c>
      <c r="J20" s="36">
        <f>9.81/744</f>
        <v>1.3185483870967742E-2</v>
      </c>
      <c r="K20" s="37">
        <v>0</v>
      </c>
      <c r="L20" s="38">
        <f t="shared" si="1"/>
        <v>0.5574972043010753</v>
      </c>
      <c r="M20" s="39">
        <f>0.48+0.319</f>
        <v>0.79899999999999993</v>
      </c>
      <c r="N20" s="40">
        <f>0.48+0.319-L20</f>
        <v>0.24150279569892463</v>
      </c>
      <c r="O20" s="41">
        <f t="shared" si="3"/>
        <v>0.24150279569892463</v>
      </c>
      <c r="P20" s="46">
        <f t="shared" si="4"/>
        <v>6999.24</v>
      </c>
      <c r="Q20" s="43">
        <v>0.88</v>
      </c>
      <c r="R20" s="44">
        <f t="shared" si="5"/>
        <v>69.774368498257246</v>
      </c>
    </row>
    <row r="21" spans="1:18" ht="33.75" x14ac:dyDescent="0.25">
      <c r="A21" s="31" t="s">
        <v>54</v>
      </c>
      <c r="B21" s="53" t="s">
        <v>55</v>
      </c>
      <c r="C21" s="33">
        <v>0.183</v>
      </c>
      <c r="D21" s="33">
        <v>0</v>
      </c>
      <c r="E21" s="34">
        <v>0</v>
      </c>
      <c r="F21" s="34">
        <v>0</v>
      </c>
      <c r="G21" s="33">
        <v>0</v>
      </c>
      <c r="H21" s="35">
        <f t="shared" si="0"/>
        <v>0.183</v>
      </c>
      <c r="I21" s="21">
        <f>(1.4+0.84)/744</f>
        <v>3.0107526881720426E-3</v>
      </c>
      <c r="J21" s="36">
        <f>1.94/744</f>
        <v>2.6075268817204299E-3</v>
      </c>
      <c r="K21" s="37">
        <v>0</v>
      </c>
      <c r="L21" s="38">
        <f t="shared" si="1"/>
        <v>0.18861827956989247</v>
      </c>
      <c r="M21" s="39">
        <f>0.061+0.062+0.062+0.063</f>
        <v>0.248</v>
      </c>
      <c r="N21" s="40">
        <f>0.061+0.062+0.062+0.063-L21</f>
        <v>5.9381720430107532E-2</v>
      </c>
      <c r="O21" s="41">
        <f t="shared" si="3"/>
        <v>5.9381720430107532E-2</v>
      </c>
      <c r="P21" s="46">
        <f t="shared" si="4"/>
        <v>2172.48</v>
      </c>
      <c r="Q21" s="43">
        <v>0.34399999999999997</v>
      </c>
      <c r="R21" s="44">
        <f t="shared" si="5"/>
        <v>76.055757891085676</v>
      </c>
    </row>
    <row r="22" spans="1:18" ht="33.75" x14ac:dyDescent="0.25">
      <c r="A22" s="31" t="s">
        <v>56</v>
      </c>
      <c r="B22" s="53" t="s">
        <v>57</v>
      </c>
      <c r="C22" s="33">
        <v>1.13405</v>
      </c>
      <c r="D22" s="33">
        <v>0</v>
      </c>
      <c r="E22" s="34">
        <v>0</v>
      </c>
      <c r="F22" s="34">
        <v>0</v>
      </c>
      <c r="G22" s="33">
        <v>0</v>
      </c>
      <c r="H22" s="35">
        <f t="shared" si="0"/>
        <v>1.13405</v>
      </c>
      <c r="I22" s="21">
        <f>(30.28+146.51+6.35)/744</f>
        <v>0.24615591397849459</v>
      </c>
      <c r="J22" s="36">
        <f>14.2/744</f>
        <v>1.9086021505376343E-2</v>
      </c>
      <c r="K22" s="36">
        <v>0.222</v>
      </c>
      <c r="L22" s="38">
        <f>H22+I22+J22+K22</f>
        <v>1.6212919354838708</v>
      </c>
      <c r="M22" s="39">
        <f>0.818+0.822</f>
        <v>1.64</v>
      </c>
      <c r="N22" s="40">
        <f t="shared" si="2"/>
        <v>1.2708064516129047E-2</v>
      </c>
      <c r="O22" s="49">
        <f>N22</f>
        <v>1.2708064516129047E-2</v>
      </c>
      <c r="P22" s="46">
        <f t="shared" si="4"/>
        <v>14366.399999999998</v>
      </c>
      <c r="Q22" s="54">
        <v>1.6339999999999999</v>
      </c>
      <c r="R22" s="44">
        <v>100</v>
      </c>
    </row>
    <row r="23" spans="1:18" ht="33.75" x14ac:dyDescent="0.25">
      <c r="A23" s="31" t="s">
        <v>58</v>
      </c>
      <c r="B23" s="53" t="s">
        <v>59</v>
      </c>
      <c r="C23" s="33">
        <v>0.39419999999999999</v>
      </c>
      <c r="D23" s="33">
        <v>0</v>
      </c>
      <c r="E23" s="34">
        <v>0</v>
      </c>
      <c r="F23" s="34">
        <v>0</v>
      </c>
      <c r="G23" s="33">
        <v>0</v>
      </c>
      <c r="H23" s="35">
        <f t="shared" si="0"/>
        <v>0.39419999999999999</v>
      </c>
      <c r="I23" s="21">
        <f>(8.9+19.18+1.81)/744</f>
        <v>4.0174731182795693E-2</v>
      </c>
      <c r="J23" s="36">
        <f>8.4/744</f>
        <v>1.1290322580645162E-2</v>
      </c>
      <c r="K23" s="37">
        <v>0</v>
      </c>
      <c r="L23" s="38">
        <f>H23+I23+J23</f>
        <v>0.44566505376344084</v>
      </c>
      <c r="M23" s="39">
        <f>0.181+0.192</f>
        <v>0.373</v>
      </c>
      <c r="N23" s="40">
        <f>0.181+0.192-L23</f>
        <v>-7.2665053763440846E-2</v>
      </c>
      <c r="O23" s="49" t="s">
        <v>37</v>
      </c>
      <c r="P23" s="46">
        <f t="shared" si="4"/>
        <v>3267.4800000000005</v>
      </c>
      <c r="Q23" s="54">
        <v>1.72</v>
      </c>
      <c r="R23" s="44">
        <f t="shared" si="5"/>
        <v>119.48124765775894</v>
      </c>
    </row>
    <row r="24" spans="1:18" ht="34.5" thickBot="1" x14ac:dyDescent="0.3">
      <c r="A24" s="55" t="s">
        <v>60</v>
      </c>
      <c r="B24" s="56" t="s">
        <v>61</v>
      </c>
      <c r="C24" s="57">
        <v>1.3481800000000002</v>
      </c>
      <c r="D24" s="57">
        <v>1.1180000000000001E-2</v>
      </c>
      <c r="E24" s="58">
        <v>0</v>
      </c>
      <c r="F24" s="58">
        <v>0</v>
      </c>
      <c r="G24" s="57">
        <v>5.466E-2</v>
      </c>
      <c r="H24" s="59">
        <f t="shared" si="0"/>
        <v>1.4140200000000001</v>
      </c>
      <c r="I24" s="60">
        <f>(73.3+88.2+6.34)/744+0.01</f>
        <v>0.23559139784946237</v>
      </c>
      <c r="J24" s="61">
        <f>22.51/744</f>
        <v>3.0255376344086024E-2</v>
      </c>
      <c r="K24" s="62">
        <v>0</v>
      </c>
      <c r="L24" s="63">
        <f>H24+I24+J24</f>
        <v>1.6798667741935485</v>
      </c>
      <c r="M24" s="64">
        <v>1.7629999999999999</v>
      </c>
      <c r="N24" s="65">
        <f t="shared" si="2"/>
        <v>8.3133225806451438E-2</v>
      </c>
      <c r="O24" s="66">
        <f>N24</f>
        <v>8.3133225806451438E-2</v>
      </c>
      <c r="P24" s="67">
        <f t="shared" si="4"/>
        <v>15443.880000000001</v>
      </c>
      <c r="Q24" s="68">
        <v>1.7629999999999999</v>
      </c>
      <c r="R24" s="30">
        <f t="shared" si="5"/>
        <v>95.284558944614218</v>
      </c>
    </row>
    <row r="25" spans="1:18" ht="15.75" thickBot="1" x14ac:dyDescent="0.3">
      <c r="A25" s="69" t="s">
        <v>18</v>
      </c>
      <c r="B25" s="70"/>
      <c r="C25" s="71">
        <f>SUM(C4:C24)</f>
        <v>73.95986000000002</v>
      </c>
      <c r="D25" s="71">
        <f t="shared" ref="D25:L25" si="6">SUM(D4:D24)</f>
        <v>1.03026</v>
      </c>
      <c r="E25" s="71">
        <f t="shared" si="6"/>
        <v>0.72450000000000003</v>
      </c>
      <c r="F25" s="71">
        <f t="shared" si="6"/>
        <v>0</v>
      </c>
      <c r="G25" s="71">
        <f t="shared" si="6"/>
        <v>4.8349600000000006</v>
      </c>
      <c r="H25" s="71">
        <f t="shared" si="6"/>
        <v>80.549580000000006</v>
      </c>
      <c r="I25" s="72">
        <f>SUM(I4:I24)</f>
        <v>8.4293145161290344</v>
      </c>
      <c r="J25" s="73">
        <f t="shared" si="6"/>
        <v>1.7012365591397849</v>
      </c>
      <c r="K25" s="73">
        <f t="shared" si="6"/>
        <v>0.23014499999999999</v>
      </c>
      <c r="L25" s="74">
        <f t="shared" si="6"/>
        <v>90.910276075268811</v>
      </c>
      <c r="M25" s="75">
        <f>SUM(M4:M24)</f>
        <v>111.88300000000004</v>
      </c>
      <c r="N25" s="75">
        <f>SUM(N4:N24)</f>
        <v>23.083623924731175</v>
      </c>
      <c r="O25" s="75">
        <f>SUM(O4:O24)</f>
        <v>17.831027473118272</v>
      </c>
      <c r="P25" s="76">
        <f>SUM(P4:P24)</f>
        <v>980095.08</v>
      </c>
      <c r="Q25" s="77">
        <f>SUM(Q4:Q24)</f>
        <v>146.34579999999997</v>
      </c>
      <c r="R25" s="78">
        <f t="shared" si="5"/>
        <v>81.254771569647559</v>
      </c>
    </row>
    <row r="26" spans="1:18" x14ac:dyDescent="0.25">
      <c r="A26" s="79" t="s">
        <v>62</v>
      </c>
      <c r="B26" s="80"/>
    </row>
    <row r="28" spans="1:18" x14ac:dyDescent="0.25">
      <c r="J28" s="81"/>
      <c r="L28" s="82"/>
      <c r="N28" s="82">
        <f>N6+N8</f>
        <v>0.42509537634408545</v>
      </c>
    </row>
  </sheetData>
  <mergeCells count="14">
    <mergeCell ref="O2:O3"/>
    <mergeCell ref="P2:P3"/>
    <mergeCell ref="Q2:Q3"/>
    <mergeCell ref="R2:R3"/>
    <mergeCell ref="A1:O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workbookViewId="0">
      <selection activeCell="K6" sqref="K6"/>
    </sheetView>
  </sheetViews>
  <sheetFormatPr defaultRowHeight="15" x14ac:dyDescent="0.25"/>
  <cols>
    <col min="1" max="1" width="16.85546875" customWidth="1"/>
    <col min="2" max="2" width="25.42578125" customWidth="1"/>
    <col min="9" max="9" width="16.28515625" customWidth="1"/>
    <col min="10" max="11" width="16.42578125" customWidth="1"/>
    <col min="12" max="12" width="19.85546875" customWidth="1"/>
    <col min="13" max="13" width="21.28515625" customWidth="1"/>
    <col min="14" max="14" width="18.42578125" customWidth="1"/>
    <col min="15" max="15" width="17" customWidth="1"/>
    <col min="16" max="16" width="21.140625" customWidth="1"/>
    <col min="17" max="17" width="21" customWidth="1"/>
    <col min="18" max="18" width="17.85546875" customWidth="1"/>
    <col min="257" max="257" width="16.85546875" customWidth="1"/>
    <col min="258" max="258" width="25.42578125" customWidth="1"/>
    <col min="265" max="265" width="16.28515625" customWidth="1"/>
    <col min="266" max="267" width="16.42578125" customWidth="1"/>
    <col min="268" max="268" width="19.85546875" customWidth="1"/>
    <col min="269" max="269" width="21.28515625" customWidth="1"/>
    <col min="270" max="270" width="18.42578125" customWidth="1"/>
    <col min="271" max="271" width="17" customWidth="1"/>
    <col min="272" max="272" width="21.140625" customWidth="1"/>
    <col min="273" max="273" width="21" customWidth="1"/>
    <col min="274" max="274" width="17.85546875" customWidth="1"/>
    <col min="513" max="513" width="16.85546875" customWidth="1"/>
    <col min="514" max="514" width="25.42578125" customWidth="1"/>
    <col min="521" max="521" width="16.28515625" customWidth="1"/>
    <col min="522" max="523" width="16.42578125" customWidth="1"/>
    <col min="524" max="524" width="19.85546875" customWidth="1"/>
    <col min="525" max="525" width="21.28515625" customWidth="1"/>
    <col min="526" max="526" width="18.42578125" customWidth="1"/>
    <col min="527" max="527" width="17" customWidth="1"/>
    <col min="528" max="528" width="21.140625" customWidth="1"/>
    <col min="529" max="529" width="21" customWidth="1"/>
    <col min="530" max="530" width="17.85546875" customWidth="1"/>
    <col min="769" max="769" width="16.85546875" customWidth="1"/>
    <col min="770" max="770" width="25.42578125" customWidth="1"/>
    <col min="777" max="777" width="16.28515625" customWidth="1"/>
    <col min="778" max="779" width="16.42578125" customWidth="1"/>
    <col min="780" max="780" width="19.85546875" customWidth="1"/>
    <col min="781" max="781" width="21.28515625" customWidth="1"/>
    <col min="782" max="782" width="18.42578125" customWidth="1"/>
    <col min="783" max="783" width="17" customWidth="1"/>
    <col min="784" max="784" width="21.140625" customWidth="1"/>
    <col min="785" max="785" width="21" customWidth="1"/>
    <col min="786" max="786" width="17.85546875" customWidth="1"/>
    <col min="1025" max="1025" width="16.85546875" customWidth="1"/>
    <col min="1026" max="1026" width="25.42578125" customWidth="1"/>
    <col min="1033" max="1033" width="16.28515625" customWidth="1"/>
    <col min="1034" max="1035" width="16.42578125" customWidth="1"/>
    <col min="1036" max="1036" width="19.85546875" customWidth="1"/>
    <col min="1037" max="1037" width="21.28515625" customWidth="1"/>
    <col min="1038" max="1038" width="18.42578125" customWidth="1"/>
    <col min="1039" max="1039" width="17" customWidth="1"/>
    <col min="1040" max="1040" width="21.140625" customWidth="1"/>
    <col min="1041" max="1041" width="21" customWidth="1"/>
    <col min="1042" max="1042" width="17.85546875" customWidth="1"/>
    <col min="1281" max="1281" width="16.85546875" customWidth="1"/>
    <col min="1282" max="1282" width="25.42578125" customWidth="1"/>
    <col min="1289" max="1289" width="16.28515625" customWidth="1"/>
    <col min="1290" max="1291" width="16.42578125" customWidth="1"/>
    <col min="1292" max="1292" width="19.85546875" customWidth="1"/>
    <col min="1293" max="1293" width="21.28515625" customWidth="1"/>
    <col min="1294" max="1294" width="18.42578125" customWidth="1"/>
    <col min="1295" max="1295" width="17" customWidth="1"/>
    <col min="1296" max="1296" width="21.140625" customWidth="1"/>
    <col min="1297" max="1297" width="21" customWidth="1"/>
    <col min="1298" max="1298" width="17.85546875" customWidth="1"/>
    <col min="1537" max="1537" width="16.85546875" customWidth="1"/>
    <col min="1538" max="1538" width="25.42578125" customWidth="1"/>
    <col min="1545" max="1545" width="16.28515625" customWidth="1"/>
    <col min="1546" max="1547" width="16.42578125" customWidth="1"/>
    <col min="1548" max="1548" width="19.85546875" customWidth="1"/>
    <col min="1549" max="1549" width="21.28515625" customWidth="1"/>
    <col min="1550" max="1550" width="18.42578125" customWidth="1"/>
    <col min="1551" max="1551" width="17" customWidth="1"/>
    <col min="1552" max="1552" width="21.140625" customWidth="1"/>
    <col min="1553" max="1553" width="21" customWidth="1"/>
    <col min="1554" max="1554" width="17.85546875" customWidth="1"/>
    <col min="1793" max="1793" width="16.85546875" customWidth="1"/>
    <col min="1794" max="1794" width="25.42578125" customWidth="1"/>
    <col min="1801" max="1801" width="16.28515625" customWidth="1"/>
    <col min="1802" max="1803" width="16.42578125" customWidth="1"/>
    <col min="1804" max="1804" width="19.85546875" customWidth="1"/>
    <col min="1805" max="1805" width="21.28515625" customWidth="1"/>
    <col min="1806" max="1806" width="18.42578125" customWidth="1"/>
    <col min="1807" max="1807" width="17" customWidth="1"/>
    <col min="1808" max="1808" width="21.140625" customWidth="1"/>
    <col min="1809" max="1809" width="21" customWidth="1"/>
    <col min="1810" max="1810" width="17.85546875" customWidth="1"/>
    <col min="2049" max="2049" width="16.85546875" customWidth="1"/>
    <col min="2050" max="2050" width="25.42578125" customWidth="1"/>
    <col min="2057" max="2057" width="16.28515625" customWidth="1"/>
    <col min="2058" max="2059" width="16.42578125" customWidth="1"/>
    <col min="2060" max="2060" width="19.85546875" customWidth="1"/>
    <col min="2061" max="2061" width="21.28515625" customWidth="1"/>
    <col min="2062" max="2062" width="18.42578125" customWidth="1"/>
    <col min="2063" max="2063" width="17" customWidth="1"/>
    <col min="2064" max="2064" width="21.140625" customWidth="1"/>
    <col min="2065" max="2065" width="21" customWidth="1"/>
    <col min="2066" max="2066" width="17.85546875" customWidth="1"/>
    <col min="2305" max="2305" width="16.85546875" customWidth="1"/>
    <col min="2306" max="2306" width="25.42578125" customWidth="1"/>
    <col min="2313" max="2313" width="16.28515625" customWidth="1"/>
    <col min="2314" max="2315" width="16.42578125" customWidth="1"/>
    <col min="2316" max="2316" width="19.85546875" customWidth="1"/>
    <col min="2317" max="2317" width="21.28515625" customWidth="1"/>
    <col min="2318" max="2318" width="18.42578125" customWidth="1"/>
    <col min="2319" max="2319" width="17" customWidth="1"/>
    <col min="2320" max="2320" width="21.140625" customWidth="1"/>
    <col min="2321" max="2321" width="21" customWidth="1"/>
    <col min="2322" max="2322" width="17.85546875" customWidth="1"/>
    <col min="2561" max="2561" width="16.85546875" customWidth="1"/>
    <col min="2562" max="2562" width="25.42578125" customWidth="1"/>
    <col min="2569" max="2569" width="16.28515625" customWidth="1"/>
    <col min="2570" max="2571" width="16.42578125" customWidth="1"/>
    <col min="2572" max="2572" width="19.85546875" customWidth="1"/>
    <col min="2573" max="2573" width="21.28515625" customWidth="1"/>
    <col min="2574" max="2574" width="18.42578125" customWidth="1"/>
    <col min="2575" max="2575" width="17" customWidth="1"/>
    <col min="2576" max="2576" width="21.140625" customWidth="1"/>
    <col min="2577" max="2577" width="21" customWidth="1"/>
    <col min="2578" max="2578" width="17.85546875" customWidth="1"/>
    <col min="2817" max="2817" width="16.85546875" customWidth="1"/>
    <col min="2818" max="2818" width="25.42578125" customWidth="1"/>
    <col min="2825" max="2825" width="16.28515625" customWidth="1"/>
    <col min="2826" max="2827" width="16.42578125" customWidth="1"/>
    <col min="2828" max="2828" width="19.85546875" customWidth="1"/>
    <col min="2829" max="2829" width="21.28515625" customWidth="1"/>
    <col min="2830" max="2830" width="18.42578125" customWidth="1"/>
    <col min="2831" max="2831" width="17" customWidth="1"/>
    <col min="2832" max="2832" width="21.140625" customWidth="1"/>
    <col min="2833" max="2833" width="21" customWidth="1"/>
    <col min="2834" max="2834" width="17.85546875" customWidth="1"/>
    <col min="3073" max="3073" width="16.85546875" customWidth="1"/>
    <col min="3074" max="3074" width="25.42578125" customWidth="1"/>
    <col min="3081" max="3081" width="16.28515625" customWidth="1"/>
    <col min="3082" max="3083" width="16.42578125" customWidth="1"/>
    <col min="3084" max="3084" width="19.85546875" customWidth="1"/>
    <col min="3085" max="3085" width="21.28515625" customWidth="1"/>
    <col min="3086" max="3086" width="18.42578125" customWidth="1"/>
    <col min="3087" max="3087" width="17" customWidth="1"/>
    <col min="3088" max="3088" width="21.140625" customWidth="1"/>
    <col min="3089" max="3089" width="21" customWidth="1"/>
    <col min="3090" max="3090" width="17.85546875" customWidth="1"/>
    <col min="3329" max="3329" width="16.85546875" customWidth="1"/>
    <col min="3330" max="3330" width="25.42578125" customWidth="1"/>
    <col min="3337" max="3337" width="16.28515625" customWidth="1"/>
    <col min="3338" max="3339" width="16.42578125" customWidth="1"/>
    <col min="3340" max="3340" width="19.85546875" customWidth="1"/>
    <col min="3341" max="3341" width="21.28515625" customWidth="1"/>
    <col min="3342" max="3342" width="18.42578125" customWidth="1"/>
    <col min="3343" max="3343" width="17" customWidth="1"/>
    <col min="3344" max="3344" width="21.140625" customWidth="1"/>
    <col min="3345" max="3345" width="21" customWidth="1"/>
    <col min="3346" max="3346" width="17.85546875" customWidth="1"/>
    <col min="3585" max="3585" width="16.85546875" customWidth="1"/>
    <col min="3586" max="3586" width="25.42578125" customWidth="1"/>
    <col min="3593" max="3593" width="16.28515625" customWidth="1"/>
    <col min="3594" max="3595" width="16.42578125" customWidth="1"/>
    <col min="3596" max="3596" width="19.85546875" customWidth="1"/>
    <col min="3597" max="3597" width="21.28515625" customWidth="1"/>
    <col min="3598" max="3598" width="18.42578125" customWidth="1"/>
    <col min="3599" max="3599" width="17" customWidth="1"/>
    <col min="3600" max="3600" width="21.140625" customWidth="1"/>
    <col min="3601" max="3601" width="21" customWidth="1"/>
    <col min="3602" max="3602" width="17.85546875" customWidth="1"/>
    <col min="3841" max="3841" width="16.85546875" customWidth="1"/>
    <col min="3842" max="3842" width="25.42578125" customWidth="1"/>
    <col min="3849" max="3849" width="16.28515625" customWidth="1"/>
    <col min="3850" max="3851" width="16.42578125" customWidth="1"/>
    <col min="3852" max="3852" width="19.85546875" customWidth="1"/>
    <col min="3853" max="3853" width="21.28515625" customWidth="1"/>
    <col min="3854" max="3854" width="18.42578125" customWidth="1"/>
    <col min="3855" max="3855" width="17" customWidth="1"/>
    <col min="3856" max="3856" width="21.140625" customWidth="1"/>
    <col min="3857" max="3857" width="21" customWidth="1"/>
    <col min="3858" max="3858" width="17.85546875" customWidth="1"/>
    <col min="4097" max="4097" width="16.85546875" customWidth="1"/>
    <col min="4098" max="4098" width="25.42578125" customWidth="1"/>
    <col min="4105" max="4105" width="16.28515625" customWidth="1"/>
    <col min="4106" max="4107" width="16.42578125" customWidth="1"/>
    <col min="4108" max="4108" width="19.85546875" customWidth="1"/>
    <col min="4109" max="4109" width="21.28515625" customWidth="1"/>
    <col min="4110" max="4110" width="18.42578125" customWidth="1"/>
    <col min="4111" max="4111" width="17" customWidth="1"/>
    <col min="4112" max="4112" width="21.140625" customWidth="1"/>
    <col min="4113" max="4113" width="21" customWidth="1"/>
    <col min="4114" max="4114" width="17.85546875" customWidth="1"/>
    <col min="4353" max="4353" width="16.85546875" customWidth="1"/>
    <col min="4354" max="4354" width="25.42578125" customWidth="1"/>
    <col min="4361" max="4361" width="16.28515625" customWidth="1"/>
    <col min="4362" max="4363" width="16.42578125" customWidth="1"/>
    <col min="4364" max="4364" width="19.85546875" customWidth="1"/>
    <col min="4365" max="4365" width="21.28515625" customWidth="1"/>
    <col min="4366" max="4366" width="18.42578125" customWidth="1"/>
    <col min="4367" max="4367" width="17" customWidth="1"/>
    <col min="4368" max="4368" width="21.140625" customWidth="1"/>
    <col min="4369" max="4369" width="21" customWidth="1"/>
    <col min="4370" max="4370" width="17.85546875" customWidth="1"/>
    <col min="4609" max="4609" width="16.85546875" customWidth="1"/>
    <col min="4610" max="4610" width="25.42578125" customWidth="1"/>
    <col min="4617" max="4617" width="16.28515625" customWidth="1"/>
    <col min="4618" max="4619" width="16.42578125" customWidth="1"/>
    <col min="4620" max="4620" width="19.85546875" customWidth="1"/>
    <col min="4621" max="4621" width="21.28515625" customWidth="1"/>
    <col min="4622" max="4622" width="18.42578125" customWidth="1"/>
    <col min="4623" max="4623" width="17" customWidth="1"/>
    <col min="4624" max="4624" width="21.140625" customWidth="1"/>
    <col min="4625" max="4625" width="21" customWidth="1"/>
    <col min="4626" max="4626" width="17.85546875" customWidth="1"/>
    <col min="4865" max="4865" width="16.85546875" customWidth="1"/>
    <col min="4866" max="4866" width="25.42578125" customWidth="1"/>
    <col min="4873" max="4873" width="16.28515625" customWidth="1"/>
    <col min="4874" max="4875" width="16.42578125" customWidth="1"/>
    <col min="4876" max="4876" width="19.85546875" customWidth="1"/>
    <col min="4877" max="4877" width="21.28515625" customWidth="1"/>
    <col min="4878" max="4878" width="18.42578125" customWidth="1"/>
    <col min="4879" max="4879" width="17" customWidth="1"/>
    <col min="4880" max="4880" width="21.140625" customWidth="1"/>
    <col min="4881" max="4881" width="21" customWidth="1"/>
    <col min="4882" max="4882" width="17.85546875" customWidth="1"/>
    <col min="5121" max="5121" width="16.85546875" customWidth="1"/>
    <col min="5122" max="5122" width="25.42578125" customWidth="1"/>
    <col min="5129" max="5129" width="16.28515625" customWidth="1"/>
    <col min="5130" max="5131" width="16.42578125" customWidth="1"/>
    <col min="5132" max="5132" width="19.85546875" customWidth="1"/>
    <col min="5133" max="5133" width="21.28515625" customWidth="1"/>
    <col min="5134" max="5134" width="18.42578125" customWidth="1"/>
    <col min="5135" max="5135" width="17" customWidth="1"/>
    <col min="5136" max="5136" width="21.140625" customWidth="1"/>
    <col min="5137" max="5137" width="21" customWidth="1"/>
    <col min="5138" max="5138" width="17.85546875" customWidth="1"/>
    <col min="5377" max="5377" width="16.85546875" customWidth="1"/>
    <col min="5378" max="5378" width="25.42578125" customWidth="1"/>
    <col min="5385" max="5385" width="16.28515625" customWidth="1"/>
    <col min="5386" max="5387" width="16.42578125" customWidth="1"/>
    <col min="5388" max="5388" width="19.85546875" customWidth="1"/>
    <col min="5389" max="5389" width="21.28515625" customWidth="1"/>
    <col min="5390" max="5390" width="18.42578125" customWidth="1"/>
    <col min="5391" max="5391" width="17" customWidth="1"/>
    <col min="5392" max="5392" width="21.140625" customWidth="1"/>
    <col min="5393" max="5393" width="21" customWidth="1"/>
    <col min="5394" max="5394" width="17.85546875" customWidth="1"/>
    <col min="5633" max="5633" width="16.85546875" customWidth="1"/>
    <col min="5634" max="5634" width="25.42578125" customWidth="1"/>
    <col min="5641" max="5641" width="16.28515625" customWidth="1"/>
    <col min="5642" max="5643" width="16.42578125" customWidth="1"/>
    <col min="5644" max="5644" width="19.85546875" customWidth="1"/>
    <col min="5645" max="5645" width="21.28515625" customWidth="1"/>
    <col min="5646" max="5646" width="18.42578125" customWidth="1"/>
    <col min="5647" max="5647" width="17" customWidth="1"/>
    <col min="5648" max="5648" width="21.140625" customWidth="1"/>
    <col min="5649" max="5649" width="21" customWidth="1"/>
    <col min="5650" max="5650" width="17.85546875" customWidth="1"/>
    <col min="5889" max="5889" width="16.85546875" customWidth="1"/>
    <col min="5890" max="5890" width="25.42578125" customWidth="1"/>
    <col min="5897" max="5897" width="16.28515625" customWidth="1"/>
    <col min="5898" max="5899" width="16.42578125" customWidth="1"/>
    <col min="5900" max="5900" width="19.85546875" customWidth="1"/>
    <col min="5901" max="5901" width="21.28515625" customWidth="1"/>
    <col min="5902" max="5902" width="18.42578125" customWidth="1"/>
    <col min="5903" max="5903" width="17" customWidth="1"/>
    <col min="5904" max="5904" width="21.140625" customWidth="1"/>
    <col min="5905" max="5905" width="21" customWidth="1"/>
    <col min="5906" max="5906" width="17.85546875" customWidth="1"/>
    <col min="6145" max="6145" width="16.85546875" customWidth="1"/>
    <col min="6146" max="6146" width="25.42578125" customWidth="1"/>
    <col min="6153" max="6153" width="16.28515625" customWidth="1"/>
    <col min="6154" max="6155" width="16.42578125" customWidth="1"/>
    <col min="6156" max="6156" width="19.85546875" customWidth="1"/>
    <col min="6157" max="6157" width="21.28515625" customWidth="1"/>
    <col min="6158" max="6158" width="18.42578125" customWidth="1"/>
    <col min="6159" max="6159" width="17" customWidth="1"/>
    <col min="6160" max="6160" width="21.140625" customWidth="1"/>
    <col min="6161" max="6161" width="21" customWidth="1"/>
    <col min="6162" max="6162" width="17.85546875" customWidth="1"/>
    <col min="6401" max="6401" width="16.85546875" customWidth="1"/>
    <col min="6402" max="6402" width="25.42578125" customWidth="1"/>
    <col min="6409" max="6409" width="16.28515625" customWidth="1"/>
    <col min="6410" max="6411" width="16.42578125" customWidth="1"/>
    <col min="6412" max="6412" width="19.85546875" customWidth="1"/>
    <col min="6413" max="6413" width="21.28515625" customWidth="1"/>
    <col min="6414" max="6414" width="18.42578125" customWidth="1"/>
    <col min="6415" max="6415" width="17" customWidth="1"/>
    <col min="6416" max="6416" width="21.140625" customWidth="1"/>
    <col min="6417" max="6417" width="21" customWidth="1"/>
    <col min="6418" max="6418" width="17.85546875" customWidth="1"/>
    <col min="6657" max="6657" width="16.85546875" customWidth="1"/>
    <col min="6658" max="6658" width="25.42578125" customWidth="1"/>
    <col min="6665" max="6665" width="16.28515625" customWidth="1"/>
    <col min="6666" max="6667" width="16.42578125" customWidth="1"/>
    <col min="6668" max="6668" width="19.85546875" customWidth="1"/>
    <col min="6669" max="6669" width="21.28515625" customWidth="1"/>
    <col min="6670" max="6670" width="18.42578125" customWidth="1"/>
    <col min="6671" max="6671" width="17" customWidth="1"/>
    <col min="6672" max="6672" width="21.140625" customWidth="1"/>
    <col min="6673" max="6673" width="21" customWidth="1"/>
    <col min="6674" max="6674" width="17.85546875" customWidth="1"/>
    <col min="6913" max="6913" width="16.85546875" customWidth="1"/>
    <col min="6914" max="6914" width="25.42578125" customWidth="1"/>
    <col min="6921" max="6921" width="16.28515625" customWidth="1"/>
    <col min="6922" max="6923" width="16.42578125" customWidth="1"/>
    <col min="6924" max="6924" width="19.85546875" customWidth="1"/>
    <col min="6925" max="6925" width="21.28515625" customWidth="1"/>
    <col min="6926" max="6926" width="18.42578125" customWidth="1"/>
    <col min="6927" max="6927" width="17" customWidth="1"/>
    <col min="6928" max="6928" width="21.140625" customWidth="1"/>
    <col min="6929" max="6929" width="21" customWidth="1"/>
    <col min="6930" max="6930" width="17.85546875" customWidth="1"/>
    <col min="7169" max="7169" width="16.85546875" customWidth="1"/>
    <col min="7170" max="7170" width="25.42578125" customWidth="1"/>
    <col min="7177" max="7177" width="16.28515625" customWidth="1"/>
    <col min="7178" max="7179" width="16.42578125" customWidth="1"/>
    <col min="7180" max="7180" width="19.85546875" customWidth="1"/>
    <col min="7181" max="7181" width="21.28515625" customWidth="1"/>
    <col min="7182" max="7182" width="18.42578125" customWidth="1"/>
    <col min="7183" max="7183" width="17" customWidth="1"/>
    <col min="7184" max="7184" width="21.140625" customWidth="1"/>
    <col min="7185" max="7185" width="21" customWidth="1"/>
    <col min="7186" max="7186" width="17.85546875" customWidth="1"/>
    <col min="7425" max="7425" width="16.85546875" customWidth="1"/>
    <col min="7426" max="7426" width="25.42578125" customWidth="1"/>
    <col min="7433" max="7433" width="16.28515625" customWidth="1"/>
    <col min="7434" max="7435" width="16.42578125" customWidth="1"/>
    <col min="7436" max="7436" width="19.85546875" customWidth="1"/>
    <col min="7437" max="7437" width="21.28515625" customWidth="1"/>
    <col min="7438" max="7438" width="18.42578125" customWidth="1"/>
    <col min="7439" max="7439" width="17" customWidth="1"/>
    <col min="7440" max="7440" width="21.140625" customWidth="1"/>
    <col min="7441" max="7441" width="21" customWidth="1"/>
    <col min="7442" max="7442" width="17.85546875" customWidth="1"/>
    <col min="7681" max="7681" width="16.85546875" customWidth="1"/>
    <col min="7682" max="7682" width="25.42578125" customWidth="1"/>
    <col min="7689" max="7689" width="16.28515625" customWidth="1"/>
    <col min="7690" max="7691" width="16.42578125" customWidth="1"/>
    <col min="7692" max="7692" width="19.85546875" customWidth="1"/>
    <col min="7693" max="7693" width="21.28515625" customWidth="1"/>
    <col min="7694" max="7694" width="18.42578125" customWidth="1"/>
    <col min="7695" max="7695" width="17" customWidth="1"/>
    <col min="7696" max="7696" width="21.140625" customWidth="1"/>
    <col min="7697" max="7697" width="21" customWidth="1"/>
    <col min="7698" max="7698" width="17.85546875" customWidth="1"/>
    <col min="7937" max="7937" width="16.85546875" customWidth="1"/>
    <col min="7938" max="7938" width="25.42578125" customWidth="1"/>
    <col min="7945" max="7945" width="16.28515625" customWidth="1"/>
    <col min="7946" max="7947" width="16.42578125" customWidth="1"/>
    <col min="7948" max="7948" width="19.85546875" customWidth="1"/>
    <col min="7949" max="7949" width="21.28515625" customWidth="1"/>
    <col min="7950" max="7950" width="18.42578125" customWidth="1"/>
    <col min="7951" max="7951" width="17" customWidth="1"/>
    <col min="7952" max="7952" width="21.140625" customWidth="1"/>
    <col min="7953" max="7953" width="21" customWidth="1"/>
    <col min="7954" max="7954" width="17.85546875" customWidth="1"/>
    <col min="8193" max="8193" width="16.85546875" customWidth="1"/>
    <col min="8194" max="8194" width="25.42578125" customWidth="1"/>
    <col min="8201" max="8201" width="16.28515625" customWidth="1"/>
    <col min="8202" max="8203" width="16.42578125" customWidth="1"/>
    <col min="8204" max="8204" width="19.85546875" customWidth="1"/>
    <col min="8205" max="8205" width="21.28515625" customWidth="1"/>
    <col min="8206" max="8206" width="18.42578125" customWidth="1"/>
    <col min="8207" max="8207" width="17" customWidth="1"/>
    <col min="8208" max="8208" width="21.140625" customWidth="1"/>
    <col min="8209" max="8209" width="21" customWidth="1"/>
    <col min="8210" max="8210" width="17.85546875" customWidth="1"/>
    <col min="8449" max="8449" width="16.85546875" customWidth="1"/>
    <col min="8450" max="8450" width="25.42578125" customWidth="1"/>
    <col min="8457" max="8457" width="16.28515625" customWidth="1"/>
    <col min="8458" max="8459" width="16.42578125" customWidth="1"/>
    <col min="8460" max="8460" width="19.85546875" customWidth="1"/>
    <col min="8461" max="8461" width="21.28515625" customWidth="1"/>
    <col min="8462" max="8462" width="18.42578125" customWidth="1"/>
    <col min="8463" max="8463" width="17" customWidth="1"/>
    <col min="8464" max="8464" width="21.140625" customWidth="1"/>
    <col min="8465" max="8465" width="21" customWidth="1"/>
    <col min="8466" max="8466" width="17.85546875" customWidth="1"/>
    <col min="8705" max="8705" width="16.85546875" customWidth="1"/>
    <col min="8706" max="8706" width="25.42578125" customWidth="1"/>
    <col min="8713" max="8713" width="16.28515625" customWidth="1"/>
    <col min="8714" max="8715" width="16.42578125" customWidth="1"/>
    <col min="8716" max="8716" width="19.85546875" customWidth="1"/>
    <col min="8717" max="8717" width="21.28515625" customWidth="1"/>
    <col min="8718" max="8718" width="18.42578125" customWidth="1"/>
    <col min="8719" max="8719" width="17" customWidth="1"/>
    <col min="8720" max="8720" width="21.140625" customWidth="1"/>
    <col min="8721" max="8721" width="21" customWidth="1"/>
    <col min="8722" max="8722" width="17.85546875" customWidth="1"/>
    <col min="8961" max="8961" width="16.85546875" customWidth="1"/>
    <col min="8962" max="8962" width="25.42578125" customWidth="1"/>
    <col min="8969" max="8969" width="16.28515625" customWidth="1"/>
    <col min="8970" max="8971" width="16.42578125" customWidth="1"/>
    <col min="8972" max="8972" width="19.85546875" customWidth="1"/>
    <col min="8973" max="8973" width="21.28515625" customWidth="1"/>
    <col min="8974" max="8974" width="18.42578125" customWidth="1"/>
    <col min="8975" max="8975" width="17" customWidth="1"/>
    <col min="8976" max="8976" width="21.140625" customWidth="1"/>
    <col min="8977" max="8977" width="21" customWidth="1"/>
    <col min="8978" max="8978" width="17.85546875" customWidth="1"/>
    <col min="9217" max="9217" width="16.85546875" customWidth="1"/>
    <col min="9218" max="9218" width="25.42578125" customWidth="1"/>
    <col min="9225" max="9225" width="16.28515625" customWidth="1"/>
    <col min="9226" max="9227" width="16.42578125" customWidth="1"/>
    <col min="9228" max="9228" width="19.85546875" customWidth="1"/>
    <col min="9229" max="9229" width="21.28515625" customWidth="1"/>
    <col min="9230" max="9230" width="18.42578125" customWidth="1"/>
    <col min="9231" max="9231" width="17" customWidth="1"/>
    <col min="9232" max="9232" width="21.140625" customWidth="1"/>
    <col min="9233" max="9233" width="21" customWidth="1"/>
    <col min="9234" max="9234" width="17.85546875" customWidth="1"/>
    <col min="9473" max="9473" width="16.85546875" customWidth="1"/>
    <col min="9474" max="9474" width="25.42578125" customWidth="1"/>
    <col min="9481" max="9481" width="16.28515625" customWidth="1"/>
    <col min="9482" max="9483" width="16.42578125" customWidth="1"/>
    <col min="9484" max="9484" width="19.85546875" customWidth="1"/>
    <col min="9485" max="9485" width="21.28515625" customWidth="1"/>
    <col min="9486" max="9486" width="18.42578125" customWidth="1"/>
    <col min="9487" max="9487" width="17" customWidth="1"/>
    <col min="9488" max="9488" width="21.140625" customWidth="1"/>
    <col min="9489" max="9489" width="21" customWidth="1"/>
    <col min="9490" max="9490" width="17.85546875" customWidth="1"/>
    <col min="9729" max="9729" width="16.85546875" customWidth="1"/>
    <col min="9730" max="9730" width="25.42578125" customWidth="1"/>
    <col min="9737" max="9737" width="16.28515625" customWidth="1"/>
    <col min="9738" max="9739" width="16.42578125" customWidth="1"/>
    <col min="9740" max="9740" width="19.85546875" customWidth="1"/>
    <col min="9741" max="9741" width="21.28515625" customWidth="1"/>
    <col min="9742" max="9742" width="18.42578125" customWidth="1"/>
    <col min="9743" max="9743" width="17" customWidth="1"/>
    <col min="9744" max="9744" width="21.140625" customWidth="1"/>
    <col min="9745" max="9745" width="21" customWidth="1"/>
    <col min="9746" max="9746" width="17.85546875" customWidth="1"/>
    <col min="9985" max="9985" width="16.85546875" customWidth="1"/>
    <col min="9986" max="9986" width="25.42578125" customWidth="1"/>
    <col min="9993" max="9993" width="16.28515625" customWidth="1"/>
    <col min="9994" max="9995" width="16.42578125" customWidth="1"/>
    <col min="9996" max="9996" width="19.85546875" customWidth="1"/>
    <col min="9997" max="9997" width="21.28515625" customWidth="1"/>
    <col min="9998" max="9998" width="18.42578125" customWidth="1"/>
    <col min="9999" max="9999" width="17" customWidth="1"/>
    <col min="10000" max="10000" width="21.140625" customWidth="1"/>
    <col min="10001" max="10001" width="21" customWidth="1"/>
    <col min="10002" max="10002" width="17.85546875" customWidth="1"/>
    <col min="10241" max="10241" width="16.85546875" customWidth="1"/>
    <col min="10242" max="10242" width="25.42578125" customWidth="1"/>
    <col min="10249" max="10249" width="16.28515625" customWidth="1"/>
    <col min="10250" max="10251" width="16.42578125" customWidth="1"/>
    <col min="10252" max="10252" width="19.85546875" customWidth="1"/>
    <col min="10253" max="10253" width="21.28515625" customWidth="1"/>
    <col min="10254" max="10254" width="18.42578125" customWidth="1"/>
    <col min="10255" max="10255" width="17" customWidth="1"/>
    <col min="10256" max="10256" width="21.140625" customWidth="1"/>
    <col min="10257" max="10257" width="21" customWidth="1"/>
    <col min="10258" max="10258" width="17.85546875" customWidth="1"/>
    <col min="10497" max="10497" width="16.85546875" customWidth="1"/>
    <col min="10498" max="10498" width="25.42578125" customWidth="1"/>
    <col min="10505" max="10505" width="16.28515625" customWidth="1"/>
    <col min="10506" max="10507" width="16.42578125" customWidth="1"/>
    <col min="10508" max="10508" width="19.85546875" customWidth="1"/>
    <col min="10509" max="10509" width="21.28515625" customWidth="1"/>
    <col min="10510" max="10510" width="18.42578125" customWidth="1"/>
    <col min="10511" max="10511" width="17" customWidth="1"/>
    <col min="10512" max="10512" width="21.140625" customWidth="1"/>
    <col min="10513" max="10513" width="21" customWidth="1"/>
    <col min="10514" max="10514" width="17.85546875" customWidth="1"/>
    <col min="10753" max="10753" width="16.85546875" customWidth="1"/>
    <col min="10754" max="10754" width="25.42578125" customWidth="1"/>
    <col min="10761" max="10761" width="16.28515625" customWidth="1"/>
    <col min="10762" max="10763" width="16.42578125" customWidth="1"/>
    <col min="10764" max="10764" width="19.85546875" customWidth="1"/>
    <col min="10765" max="10765" width="21.28515625" customWidth="1"/>
    <col min="10766" max="10766" width="18.42578125" customWidth="1"/>
    <col min="10767" max="10767" width="17" customWidth="1"/>
    <col min="10768" max="10768" width="21.140625" customWidth="1"/>
    <col min="10769" max="10769" width="21" customWidth="1"/>
    <col min="10770" max="10770" width="17.85546875" customWidth="1"/>
    <col min="11009" max="11009" width="16.85546875" customWidth="1"/>
    <col min="11010" max="11010" width="25.42578125" customWidth="1"/>
    <col min="11017" max="11017" width="16.28515625" customWidth="1"/>
    <col min="11018" max="11019" width="16.42578125" customWidth="1"/>
    <col min="11020" max="11020" width="19.85546875" customWidth="1"/>
    <col min="11021" max="11021" width="21.28515625" customWidth="1"/>
    <col min="11022" max="11022" width="18.42578125" customWidth="1"/>
    <col min="11023" max="11023" width="17" customWidth="1"/>
    <col min="11024" max="11024" width="21.140625" customWidth="1"/>
    <col min="11025" max="11025" width="21" customWidth="1"/>
    <col min="11026" max="11026" width="17.85546875" customWidth="1"/>
    <col min="11265" max="11265" width="16.85546875" customWidth="1"/>
    <col min="11266" max="11266" width="25.42578125" customWidth="1"/>
    <col min="11273" max="11273" width="16.28515625" customWidth="1"/>
    <col min="11274" max="11275" width="16.42578125" customWidth="1"/>
    <col min="11276" max="11276" width="19.85546875" customWidth="1"/>
    <col min="11277" max="11277" width="21.28515625" customWidth="1"/>
    <col min="11278" max="11278" width="18.42578125" customWidth="1"/>
    <col min="11279" max="11279" width="17" customWidth="1"/>
    <col min="11280" max="11280" width="21.140625" customWidth="1"/>
    <col min="11281" max="11281" width="21" customWidth="1"/>
    <col min="11282" max="11282" width="17.85546875" customWidth="1"/>
    <col min="11521" max="11521" width="16.85546875" customWidth="1"/>
    <col min="11522" max="11522" width="25.42578125" customWidth="1"/>
    <col min="11529" max="11529" width="16.28515625" customWidth="1"/>
    <col min="11530" max="11531" width="16.42578125" customWidth="1"/>
    <col min="11532" max="11532" width="19.85546875" customWidth="1"/>
    <col min="11533" max="11533" width="21.28515625" customWidth="1"/>
    <col min="11534" max="11534" width="18.42578125" customWidth="1"/>
    <col min="11535" max="11535" width="17" customWidth="1"/>
    <col min="11536" max="11536" width="21.140625" customWidth="1"/>
    <col min="11537" max="11537" width="21" customWidth="1"/>
    <col min="11538" max="11538" width="17.85546875" customWidth="1"/>
    <col min="11777" max="11777" width="16.85546875" customWidth="1"/>
    <col min="11778" max="11778" width="25.42578125" customWidth="1"/>
    <col min="11785" max="11785" width="16.28515625" customWidth="1"/>
    <col min="11786" max="11787" width="16.42578125" customWidth="1"/>
    <col min="11788" max="11788" width="19.85546875" customWidth="1"/>
    <col min="11789" max="11789" width="21.28515625" customWidth="1"/>
    <col min="11790" max="11790" width="18.42578125" customWidth="1"/>
    <col min="11791" max="11791" width="17" customWidth="1"/>
    <col min="11792" max="11792" width="21.140625" customWidth="1"/>
    <col min="11793" max="11793" width="21" customWidth="1"/>
    <col min="11794" max="11794" width="17.85546875" customWidth="1"/>
    <col min="12033" max="12033" width="16.85546875" customWidth="1"/>
    <col min="12034" max="12034" width="25.42578125" customWidth="1"/>
    <col min="12041" max="12041" width="16.28515625" customWidth="1"/>
    <col min="12042" max="12043" width="16.42578125" customWidth="1"/>
    <col min="12044" max="12044" width="19.85546875" customWidth="1"/>
    <col min="12045" max="12045" width="21.28515625" customWidth="1"/>
    <col min="12046" max="12046" width="18.42578125" customWidth="1"/>
    <col min="12047" max="12047" width="17" customWidth="1"/>
    <col min="12048" max="12048" width="21.140625" customWidth="1"/>
    <col min="12049" max="12049" width="21" customWidth="1"/>
    <col min="12050" max="12050" width="17.85546875" customWidth="1"/>
    <col min="12289" max="12289" width="16.85546875" customWidth="1"/>
    <col min="12290" max="12290" width="25.42578125" customWidth="1"/>
    <col min="12297" max="12297" width="16.28515625" customWidth="1"/>
    <col min="12298" max="12299" width="16.42578125" customWidth="1"/>
    <col min="12300" max="12300" width="19.85546875" customWidth="1"/>
    <col min="12301" max="12301" width="21.28515625" customWidth="1"/>
    <col min="12302" max="12302" width="18.42578125" customWidth="1"/>
    <col min="12303" max="12303" width="17" customWidth="1"/>
    <col min="12304" max="12304" width="21.140625" customWidth="1"/>
    <col min="12305" max="12305" width="21" customWidth="1"/>
    <col min="12306" max="12306" width="17.85546875" customWidth="1"/>
    <col min="12545" max="12545" width="16.85546875" customWidth="1"/>
    <col min="12546" max="12546" width="25.42578125" customWidth="1"/>
    <col min="12553" max="12553" width="16.28515625" customWidth="1"/>
    <col min="12554" max="12555" width="16.42578125" customWidth="1"/>
    <col min="12556" max="12556" width="19.85546875" customWidth="1"/>
    <col min="12557" max="12557" width="21.28515625" customWidth="1"/>
    <col min="12558" max="12558" width="18.42578125" customWidth="1"/>
    <col min="12559" max="12559" width="17" customWidth="1"/>
    <col min="12560" max="12560" width="21.140625" customWidth="1"/>
    <col min="12561" max="12561" width="21" customWidth="1"/>
    <col min="12562" max="12562" width="17.85546875" customWidth="1"/>
    <col min="12801" max="12801" width="16.85546875" customWidth="1"/>
    <col min="12802" max="12802" width="25.42578125" customWidth="1"/>
    <col min="12809" max="12809" width="16.28515625" customWidth="1"/>
    <col min="12810" max="12811" width="16.42578125" customWidth="1"/>
    <col min="12812" max="12812" width="19.85546875" customWidth="1"/>
    <col min="12813" max="12813" width="21.28515625" customWidth="1"/>
    <col min="12814" max="12814" width="18.42578125" customWidth="1"/>
    <col min="12815" max="12815" width="17" customWidth="1"/>
    <col min="12816" max="12816" width="21.140625" customWidth="1"/>
    <col min="12817" max="12817" width="21" customWidth="1"/>
    <col min="12818" max="12818" width="17.85546875" customWidth="1"/>
    <col min="13057" max="13057" width="16.85546875" customWidth="1"/>
    <col min="13058" max="13058" width="25.42578125" customWidth="1"/>
    <col min="13065" max="13065" width="16.28515625" customWidth="1"/>
    <col min="13066" max="13067" width="16.42578125" customWidth="1"/>
    <col min="13068" max="13068" width="19.85546875" customWidth="1"/>
    <col min="13069" max="13069" width="21.28515625" customWidth="1"/>
    <col min="13070" max="13070" width="18.42578125" customWidth="1"/>
    <col min="13071" max="13071" width="17" customWidth="1"/>
    <col min="13072" max="13072" width="21.140625" customWidth="1"/>
    <col min="13073" max="13073" width="21" customWidth="1"/>
    <col min="13074" max="13074" width="17.85546875" customWidth="1"/>
    <col min="13313" max="13313" width="16.85546875" customWidth="1"/>
    <col min="13314" max="13314" width="25.42578125" customWidth="1"/>
    <col min="13321" max="13321" width="16.28515625" customWidth="1"/>
    <col min="13322" max="13323" width="16.42578125" customWidth="1"/>
    <col min="13324" max="13324" width="19.85546875" customWidth="1"/>
    <col min="13325" max="13325" width="21.28515625" customWidth="1"/>
    <col min="13326" max="13326" width="18.42578125" customWidth="1"/>
    <col min="13327" max="13327" width="17" customWidth="1"/>
    <col min="13328" max="13328" width="21.140625" customWidth="1"/>
    <col min="13329" max="13329" width="21" customWidth="1"/>
    <col min="13330" max="13330" width="17.85546875" customWidth="1"/>
    <col min="13569" max="13569" width="16.85546875" customWidth="1"/>
    <col min="13570" max="13570" width="25.42578125" customWidth="1"/>
    <col min="13577" max="13577" width="16.28515625" customWidth="1"/>
    <col min="13578" max="13579" width="16.42578125" customWidth="1"/>
    <col min="13580" max="13580" width="19.85546875" customWidth="1"/>
    <col min="13581" max="13581" width="21.28515625" customWidth="1"/>
    <col min="13582" max="13582" width="18.42578125" customWidth="1"/>
    <col min="13583" max="13583" width="17" customWidth="1"/>
    <col min="13584" max="13584" width="21.140625" customWidth="1"/>
    <col min="13585" max="13585" width="21" customWidth="1"/>
    <col min="13586" max="13586" width="17.85546875" customWidth="1"/>
    <col min="13825" max="13825" width="16.85546875" customWidth="1"/>
    <col min="13826" max="13826" width="25.42578125" customWidth="1"/>
    <col min="13833" max="13833" width="16.28515625" customWidth="1"/>
    <col min="13834" max="13835" width="16.42578125" customWidth="1"/>
    <col min="13836" max="13836" width="19.85546875" customWidth="1"/>
    <col min="13837" max="13837" width="21.28515625" customWidth="1"/>
    <col min="13838" max="13838" width="18.42578125" customWidth="1"/>
    <col min="13839" max="13839" width="17" customWidth="1"/>
    <col min="13840" max="13840" width="21.140625" customWidth="1"/>
    <col min="13841" max="13841" width="21" customWidth="1"/>
    <col min="13842" max="13842" width="17.85546875" customWidth="1"/>
    <col min="14081" max="14081" width="16.85546875" customWidth="1"/>
    <col min="14082" max="14082" width="25.42578125" customWidth="1"/>
    <col min="14089" max="14089" width="16.28515625" customWidth="1"/>
    <col min="14090" max="14091" width="16.42578125" customWidth="1"/>
    <col min="14092" max="14092" width="19.85546875" customWidth="1"/>
    <col min="14093" max="14093" width="21.28515625" customWidth="1"/>
    <col min="14094" max="14094" width="18.42578125" customWidth="1"/>
    <col min="14095" max="14095" width="17" customWidth="1"/>
    <col min="14096" max="14096" width="21.140625" customWidth="1"/>
    <col min="14097" max="14097" width="21" customWidth="1"/>
    <col min="14098" max="14098" width="17.85546875" customWidth="1"/>
    <col min="14337" max="14337" width="16.85546875" customWidth="1"/>
    <col min="14338" max="14338" width="25.42578125" customWidth="1"/>
    <col min="14345" max="14345" width="16.28515625" customWidth="1"/>
    <col min="14346" max="14347" width="16.42578125" customWidth="1"/>
    <col min="14348" max="14348" width="19.85546875" customWidth="1"/>
    <col min="14349" max="14349" width="21.28515625" customWidth="1"/>
    <col min="14350" max="14350" width="18.42578125" customWidth="1"/>
    <col min="14351" max="14351" width="17" customWidth="1"/>
    <col min="14352" max="14352" width="21.140625" customWidth="1"/>
    <col min="14353" max="14353" width="21" customWidth="1"/>
    <col min="14354" max="14354" width="17.85546875" customWidth="1"/>
    <col min="14593" max="14593" width="16.85546875" customWidth="1"/>
    <col min="14594" max="14594" width="25.42578125" customWidth="1"/>
    <col min="14601" max="14601" width="16.28515625" customWidth="1"/>
    <col min="14602" max="14603" width="16.42578125" customWidth="1"/>
    <col min="14604" max="14604" width="19.85546875" customWidth="1"/>
    <col min="14605" max="14605" width="21.28515625" customWidth="1"/>
    <col min="14606" max="14606" width="18.42578125" customWidth="1"/>
    <col min="14607" max="14607" width="17" customWidth="1"/>
    <col min="14608" max="14608" width="21.140625" customWidth="1"/>
    <col min="14609" max="14609" width="21" customWidth="1"/>
    <col min="14610" max="14610" width="17.85546875" customWidth="1"/>
    <col min="14849" max="14849" width="16.85546875" customWidth="1"/>
    <col min="14850" max="14850" width="25.42578125" customWidth="1"/>
    <col min="14857" max="14857" width="16.28515625" customWidth="1"/>
    <col min="14858" max="14859" width="16.42578125" customWidth="1"/>
    <col min="14860" max="14860" width="19.85546875" customWidth="1"/>
    <col min="14861" max="14861" width="21.28515625" customWidth="1"/>
    <col min="14862" max="14862" width="18.42578125" customWidth="1"/>
    <col min="14863" max="14863" width="17" customWidth="1"/>
    <col min="14864" max="14864" width="21.140625" customWidth="1"/>
    <col min="14865" max="14865" width="21" customWidth="1"/>
    <col min="14866" max="14866" width="17.85546875" customWidth="1"/>
    <col min="15105" max="15105" width="16.85546875" customWidth="1"/>
    <col min="15106" max="15106" width="25.42578125" customWidth="1"/>
    <col min="15113" max="15113" width="16.28515625" customWidth="1"/>
    <col min="15114" max="15115" width="16.42578125" customWidth="1"/>
    <col min="15116" max="15116" width="19.85546875" customWidth="1"/>
    <col min="15117" max="15117" width="21.28515625" customWidth="1"/>
    <col min="15118" max="15118" width="18.42578125" customWidth="1"/>
    <col min="15119" max="15119" width="17" customWidth="1"/>
    <col min="15120" max="15120" width="21.140625" customWidth="1"/>
    <col min="15121" max="15121" width="21" customWidth="1"/>
    <col min="15122" max="15122" width="17.85546875" customWidth="1"/>
    <col min="15361" max="15361" width="16.85546875" customWidth="1"/>
    <col min="15362" max="15362" width="25.42578125" customWidth="1"/>
    <col min="15369" max="15369" width="16.28515625" customWidth="1"/>
    <col min="15370" max="15371" width="16.42578125" customWidth="1"/>
    <col min="15372" max="15372" width="19.85546875" customWidth="1"/>
    <col min="15373" max="15373" width="21.28515625" customWidth="1"/>
    <col min="15374" max="15374" width="18.42578125" customWidth="1"/>
    <col min="15375" max="15375" width="17" customWidth="1"/>
    <col min="15376" max="15376" width="21.140625" customWidth="1"/>
    <col min="15377" max="15377" width="21" customWidth="1"/>
    <col min="15378" max="15378" width="17.85546875" customWidth="1"/>
    <col min="15617" max="15617" width="16.85546875" customWidth="1"/>
    <col min="15618" max="15618" width="25.42578125" customWidth="1"/>
    <col min="15625" max="15625" width="16.28515625" customWidth="1"/>
    <col min="15626" max="15627" width="16.42578125" customWidth="1"/>
    <col min="15628" max="15628" width="19.85546875" customWidth="1"/>
    <col min="15629" max="15629" width="21.28515625" customWidth="1"/>
    <col min="15630" max="15630" width="18.42578125" customWidth="1"/>
    <col min="15631" max="15631" width="17" customWidth="1"/>
    <col min="15632" max="15632" width="21.140625" customWidth="1"/>
    <col min="15633" max="15633" width="21" customWidth="1"/>
    <col min="15634" max="15634" width="17.85546875" customWidth="1"/>
    <col min="15873" max="15873" width="16.85546875" customWidth="1"/>
    <col min="15874" max="15874" width="25.42578125" customWidth="1"/>
    <col min="15881" max="15881" width="16.28515625" customWidth="1"/>
    <col min="15882" max="15883" width="16.42578125" customWidth="1"/>
    <col min="15884" max="15884" width="19.85546875" customWidth="1"/>
    <col min="15885" max="15885" width="21.28515625" customWidth="1"/>
    <col min="15886" max="15886" width="18.42578125" customWidth="1"/>
    <col min="15887" max="15887" width="17" customWidth="1"/>
    <col min="15888" max="15888" width="21.140625" customWidth="1"/>
    <col min="15889" max="15889" width="21" customWidth="1"/>
    <col min="15890" max="15890" width="17.85546875" customWidth="1"/>
    <col min="16129" max="16129" width="16.85546875" customWidth="1"/>
    <col min="16130" max="16130" width="25.42578125" customWidth="1"/>
    <col min="16137" max="16137" width="16.28515625" customWidth="1"/>
    <col min="16138" max="16139" width="16.42578125" customWidth="1"/>
    <col min="16140" max="16140" width="19.85546875" customWidth="1"/>
    <col min="16141" max="16141" width="21.28515625" customWidth="1"/>
    <col min="16142" max="16142" width="18.42578125" customWidth="1"/>
    <col min="16143" max="16143" width="17" customWidth="1"/>
    <col min="16144" max="16144" width="21.140625" customWidth="1"/>
    <col min="16145" max="16145" width="21" customWidth="1"/>
    <col min="16146" max="16146" width="17.85546875" customWidth="1"/>
  </cols>
  <sheetData>
    <row r="1" spans="1:18" ht="18.75" thickBot="1" x14ac:dyDescent="0.3">
      <c r="A1" s="1" t="s">
        <v>65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</row>
    <row r="2" spans="1:18" ht="39" customHeight="1" thickBot="1" x14ac:dyDescent="0.3">
      <c r="A2" s="3" t="s">
        <v>0</v>
      </c>
      <c r="B2" s="3" t="s">
        <v>1</v>
      </c>
      <c r="C2" s="4" t="s">
        <v>2</v>
      </c>
      <c r="D2" s="5"/>
      <c r="E2" s="5"/>
      <c r="F2" s="5"/>
      <c r="G2" s="5"/>
      <c r="H2" s="6"/>
      <c r="I2" s="7" t="s">
        <v>3</v>
      </c>
      <c r="J2" s="8" t="s">
        <v>4</v>
      </c>
      <c r="K2" s="8" t="s">
        <v>5</v>
      </c>
      <c r="L2" s="7" t="s">
        <v>6</v>
      </c>
      <c r="M2" s="7" t="s">
        <v>7</v>
      </c>
      <c r="N2" s="7" t="s">
        <v>8</v>
      </c>
      <c r="O2" s="7" t="s">
        <v>9</v>
      </c>
      <c r="P2" s="9" t="s">
        <v>10</v>
      </c>
      <c r="Q2" s="7" t="s">
        <v>11</v>
      </c>
      <c r="R2" s="7" t="s">
        <v>12</v>
      </c>
    </row>
    <row r="3" spans="1:18" ht="56.25" customHeight="1" thickBot="1" x14ac:dyDescent="0.3">
      <c r="A3" s="10"/>
      <c r="B3" s="10"/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2" t="s">
        <v>18</v>
      </c>
      <c r="I3" s="13"/>
      <c r="J3" s="14"/>
      <c r="K3" s="14"/>
      <c r="L3" s="13"/>
      <c r="M3" s="13"/>
      <c r="N3" s="13"/>
      <c r="O3" s="13"/>
      <c r="P3" s="15"/>
      <c r="Q3" s="13"/>
      <c r="R3" s="13"/>
    </row>
    <row r="4" spans="1:18" ht="33" customHeight="1" x14ac:dyDescent="0.25">
      <c r="A4" s="16" t="s">
        <v>19</v>
      </c>
      <c r="B4" s="17" t="s">
        <v>20</v>
      </c>
      <c r="C4" s="18">
        <v>3.5978600000000007</v>
      </c>
      <c r="D4" s="18">
        <v>3.2000000000000002E-3</v>
      </c>
      <c r="E4" s="19">
        <v>0</v>
      </c>
      <c r="F4" s="19">
        <v>0</v>
      </c>
      <c r="G4" s="18">
        <v>0.37580999999999998</v>
      </c>
      <c r="H4" s="20">
        <f>SUM(C4:G4)</f>
        <v>3.9768700000000008</v>
      </c>
      <c r="I4" s="21">
        <f>(298.01+53.84+17.98)/744</f>
        <v>0.49708333333333338</v>
      </c>
      <c r="J4" s="22">
        <f>128.41/744</f>
        <v>0.17259408602150536</v>
      </c>
      <c r="K4" s="23">
        <v>0</v>
      </c>
      <c r="L4" s="24">
        <f>H4+I4+J4</f>
        <v>4.6465474193548397</v>
      </c>
      <c r="M4" s="25">
        <f>2.368+2.435+2.178</f>
        <v>6.9809999999999999</v>
      </c>
      <c r="N4" s="26">
        <f>Q4-L4</f>
        <v>2.0734525806451609</v>
      </c>
      <c r="O4" s="27">
        <f>N4</f>
        <v>2.0734525806451609</v>
      </c>
      <c r="P4" s="28">
        <f>M4*365*24</f>
        <v>61153.56</v>
      </c>
      <c r="Q4" s="29">
        <f>2.24*3</f>
        <v>6.7200000000000006</v>
      </c>
      <c r="R4" s="30">
        <f>L4/M4*100</f>
        <v>66.559911464759196</v>
      </c>
    </row>
    <row r="5" spans="1:18" x14ac:dyDescent="0.25">
      <c r="A5" s="31" t="s">
        <v>21</v>
      </c>
      <c r="B5" s="32" t="s">
        <v>22</v>
      </c>
      <c r="C5" s="33">
        <v>0.34899999999999998</v>
      </c>
      <c r="D5" s="33">
        <v>0</v>
      </c>
      <c r="E5" s="34">
        <v>0</v>
      </c>
      <c r="F5" s="34">
        <v>0</v>
      </c>
      <c r="G5" s="33">
        <v>7.4999999999999997E-3</v>
      </c>
      <c r="H5" s="35">
        <f t="shared" ref="H5:H24" si="0">SUM(C5:G5)</f>
        <v>0.35649999999999998</v>
      </c>
      <c r="I5" s="21">
        <f>(41.2+1.61)/744</f>
        <v>5.7540322580645162E-2</v>
      </c>
      <c r="J5" s="36">
        <f>10.07/744</f>
        <v>1.3534946236559139E-2</v>
      </c>
      <c r="K5" s="37">
        <v>0</v>
      </c>
      <c r="L5" s="38">
        <f t="shared" ref="L5:L21" si="1">H5+I5+J5</f>
        <v>0.42757526881720431</v>
      </c>
      <c r="M5" s="39">
        <f>0.085+0.452+0.417</f>
        <v>0.95399999999999996</v>
      </c>
      <c r="N5" s="40">
        <f t="shared" ref="N5:N24" si="2">Q5-L5</f>
        <v>0.73742473118279572</v>
      </c>
      <c r="O5" s="41">
        <f t="shared" ref="O5:O21" si="3">N5</f>
        <v>0.73742473118279572</v>
      </c>
      <c r="P5" s="42">
        <f t="shared" ref="P5:P24" si="4">M5*365*24</f>
        <v>8357.0399999999991</v>
      </c>
      <c r="Q5" s="43">
        <v>1.165</v>
      </c>
      <c r="R5" s="44">
        <f t="shared" ref="R5:R25" si="5">L5/M5*100</f>
        <v>44.819210567841125</v>
      </c>
    </row>
    <row r="6" spans="1:18" x14ac:dyDescent="0.25">
      <c r="A6" s="31" t="s">
        <v>23</v>
      </c>
      <c r="B6" s="32" t="s">
        <v>24</v>
      </c>
      <c r="C6" s="33">
        <v>0.71088000000000029</v>
      </c>
      <c r="D6" s="33">
        <v>0</v>
      </c>
      <c r="E6" s="34">
        <v>0</v>
      </c>
      <c r="F6" s="34">
        <v>0</v>
      </c>
      <c r="G6" s="33">
        <v>1.259E-2</v>
      </c>
      <c r="H6" s="35">
        <f t="shared" si="0"/>
        <v>0.72347000000000028</v>
      </c>
      <c r="I6" s="21">
        <f>(100.18+3.29)/744</f>
        <v>0.13907258064516131</v>
      </c>
      <c r="J6" s="36">
        <f>11.41/744</f>
        <v>1.5336021505376345E-2</v>
      </c>
      <c r="K6" s="37">
        <v>0</v>
      </c>
      <c r="L6" s="38">
        <f t="shared" si="1"/>
        <v>0.87787860215053803</v>
      </c>
      <c r="M6" s="39">
        <f>0.4+0.29+0.288</f>
        <v>0.97799999999999998</v>
      </c>
      <c r="N6" s="40">
        <f t="shared" si="2"/>
        <v>7.0121397849461919E-2</v>
      </c>
      <c r="O6" s="41">
        <f t="shared" si="3"/>
        <v>7.0121397849461919E-2</v>
      </c>
      <c r="P6" s="42">
        <f t="shared" si="4"/>
        <v>8567.2799999999988</v>
      </c>
      <c r="Q6" s="43">
        <v>0.94799999999999995</v>
      </c>
      <c r="R6" s="44">
        <f t="shared" si="5"/>
        <v>89.762638256701237</v>
      </c>
    </row>
    <row r="7" spans="1:18" x14ac:dyDescent="0.25">
      <c r="A7" s="31" t="s">
        <v>25</v>
      </c>
      <c r="B7" s="32" t="s">
        <v>26</v>
      </c>
      <c r="C7" s="33">
        <v>0.36099999999999999</v>
      </c>
      <c r="D7" s="33">
        <v>0</v>
      </c>
      <c r="E7" s="34">
        <v>0</v>
      </c>
      <c r="F7" s="34">
        <v>0</v>
      </c>
      <c r="G7" s="33">
        <v>6.3300000000000006E-3</v>
      </c>
      <c r="H7" s="35">
        <f t="shared" si="0"/>
        <v>0.36732999999999999</v>
      </c>
      <c r="I7" s="21">
        <f>(10.32+1.46)/744</f>
        <v>1.5833333333333335E-2</v>
      </c>
      <c r="J7" s="36">
        <f>12.75/744</f>
        <v>1.7137096774193547E-2</v>
      </c>
      <c r="K7" s="37">
        <v>0</v>
      </c>
      <c r="L7" s="38">
        <f t="shared" si="1"/>
        <v>0.40030043010752686</v>
      </c>
      <c r="M7" s="39">
        <f>0.3+0.297+0.154</f>
        <v>0.751</v>
      </c>
      <c r="N7" s="40">
        <f t="shared" si="2"/>
        <v>0.26879956989247317</v>
      </c>
      <c r="O7" s="41">
        <f t="shared" si="3"/>
        <v>0.26879956989247317</v>
      </c>
      <c r="P7" s="42">
        <f t="shared" si="4"/>
        <v>6578.76</v>
      </c>
      <c r="Q7" s="43">
        <v>0.66910000000000003</v>
      </c>
      <c r="R7" s="44">
        <f t="shared" si="5"/>
        <v>53.302320919777216</v>
      </c>
    </row>
    <row r="8" spans="1:18" ht="15" customHeight="1" x14ac:dyDescent="0.25">
      <c r="A8" s="31" t="s">
        <v>27</v>
      </c>
      <c r="B8" s="45" t="s">
        <v>28</v>
      </c>
      <c r="C8" s="33">
        <v>0.38644000000000001</v>
      </c>
      <c r="D8" s="33">
        <v>0.01</v>
      </c>
      <c r="E8" s="34">
        <v>0</v>
      </c>
      <c r="F8" s="34">
        <v>0</v>
      </c>
      <c r="G8" s="33">
        <v>2.1250000000000002E-2</v>
      </c>
      <c r="H8" s="35">
        <f t="shared" si="0"/>
        <v>0.41769000000000001</v>
      </c>
      <c r="I8" s="21">
        <f>(107.68+1.81)/744</f>
        <v>0.14716397849462368</v>
      </c>
      <c r="J8" s="36">
        <f>20.96/744</f>
        <v>2.8172043010752688E-2</v>
      </c>
      <c r="K8" s="37">
        <v>0</v>
      </c>
      <c r="L8" s="38">
        <f t="shared" si="1"/>
        <v>0.59302602150537642</v>
      </c>
      <c r="M8" s="39">
        <f>0.35+0.268+0.262</f>
        <v>0.88</v>
      </c>
      <c r="N8" s="40">
        <f t="shared" si="2"/>
        <v>0.35497397849462353</v>
      </c>
      <c r="O8" s="41">
        <f t="shared" si="3"/>
        <v>0.35497397849462353</v>
      </c>
      <c r="P8" s="46">
        <f t="shared" si="4"/>
        <v>7708.7999999999993</v>
      </c>
      <c r="Q8" s="43">
        <v>0.94799999999999995</v>
      </c>
      <c r="R8" s="44">
        <f t="shared" si="5"/>
        <v>67.389320625610964</v>
      </c>
    </row>
    <row r="9" spans="1:18" x14ac:dyDescent="0.25">
      <c r="A9" s="31" t="s">
        <v>29</v>
      </c>
      <c r="B9" s="45" t="s">
        <v>30</v>
      </c>
      <c r="C9" s="33">
        <v>1.2936300000000001</v>
      </c>
      <c r="D9" s="33">
        <v>2.0499999999999997E-2</v>
      </c>
      <c r="E9" s="34">
        <v>0</v>
      </c>
      <c r="F9" s="34">
        <v>0</v>
      </c>
      <c r="G9" s="33">
        <v>0.14544000000000001</v>
      </c>
      <c r="H9" s="35">
        <f t="shared" si="0"/>
        <v>1.45957</v>
      </c>
      <c r="I9" s="21">
        <f>(31.18+6.04)/744</f>
        <v>5.0026881720430107E-2</v>
      </c>
      <c r="J9" s="36">
        <f>24.45/744</f>
        <v>3.2862903225806449E-2</v>
      </c>
      <c r="K9" s="37">
        <v>0</v>
      </c>
      <c r="L9" s="38">
        <f t="shared" si="1"/>
        <v>1.5424597849462367</v>
      </c>
      <c r="M9" s="47">
        <v>1.72</v>
      </c>
      <c r="N9" s="40">
        <f t="shared" si="2"/>
        <v>0.17754021505376327</v>
      </c>
      <c r="O9" s="41">
        <f t="shared" si="3"/>
        <v>0.17754021505376327</v>
      </c>
      <c r="P9" s="46">
        <f t="shared" si="4"/>
        <v>15067.199999999999</v>
      </c>
      <c r="Q9" s="43">
        <v>1.72</v>
      </c>
      <c r="R9" s="44">
        <f t="shared" si="5"/>
        <v>89.677894473618409</v>
      </c>
    </row>
    <row r="10" spans="1:18" x14ac:dyDescent="0.25">
      <c r="A10" s="31" t="s">
        <v>31</v>
      </c>
      <c r="B10" s="45" t="s">
        <v>32</v>
      </c>
      <c r="C10" s="33">
        <v>2.1968999999999999</v>
      </c>
      <c r="D10" s="33">
        <v>4.5999999999999999E-3</v>
      </c>
      <c r="E10" s="33">
        <v>1.2E-2</v>
      </c>
      <c r="F10" s="34">
        <v>0</v>
      </c>
      <c r="G10" s="33">
        <v>0.17810000000000001</v>
      </c>
      <c r="H10" s="35">
        <f t="shared" si="0"/>
        <v>2.3915999999999999</v>
      </c>
      <c r="I10" s="21">
        <f>(45.82+12.45)/744</f>
        <v>7.8319892473118269E-2</v>
      </c>
      <c r="J10" s="36">
        <f>49.58/744</f>
        <v>6.6639784946236555E-2</v>
      </c>
      <c r="K10" s="37">
        <v>0</v>
      </c>
      <c r="L10" s="38">
        <f t="shared" si="1"/>
        <v>2.5365596774193544</v>
      </c>
      <c r="M10" s="39">
        <f>2.697+2.697</f>
        <v>5.3940000000000001</v>
      </c>
      <c r="N10" s="48">
        <f>2.697+2.697-L10</f>
        <v>2.8574403225806457</v>
      </c>
      <c r="O10" s="41">
        <f t="shared" si="3"/>
        <v>2.8574403225806457</v>
      </c>
      <c r="P10" s="46">
        <f t="shared" si="4"/>
        <v>47251.44</v>
      </c>
      <c r="Q10" s="43">
        <v>8</v>
      </c>
      <c r="R10" s="44">
        <f t="shared" si="5"/>
        <v>47.025578001841943</v>
      </c>
    </row>
    <row r="11" spans="1:18" x14ac:dyDescent="0.25">
      <c r="A11" s="31" t="s">
        <v>33</v>
      </c>
      <c r="B11" s="45" t="s">
        <v>34</v>
      </c>
      <c r="C11" s="33">
        <v>15.880480000000002</v>
      </c>
      <c r="D11" s="33">
        <v>0</v>
      </c>
      <c r="E11" s="34">
        <v>0</v>
      </c>
      <c r="F11" s="34">
        <v>0</v>
      </c>
      <c r="G11" s="33">
        <v>0</v>
      </c>
      <c r="H11" s="35">
        <f t="shared" si="0"/>
        <v>15.880480000000002</v>
      </c>
      <c r="I11" s="21">
        <f>(1105.91+3.81+77.55)/744</f>
        <v>1.5957930107526881</v>
      </c>
      <c r="J11" s="36">
        <f>114.1/744</f>
        <v>0.15336021505376343</v>
      </c>
      <c r="K11" s="36">
        <v>8.1449999999999995E-3</v>
      </c>
      <c r="L11" s="38">
        <f>H11+I11+J11+K11</f>
        <v>17.637778225806453</v>
      </c>
      <c r="M11" s="39">
        <f>1.804+3.559+3.846+3.706+7.247</f>
        <v>20.161999999999999</v>
      </c>
      <c r="N11" s="48">
        <f>1.804+3.559+3.846+3.706+7.247-L11</f>
        <v>2.5242217741935455</v>
      </c>
      <c r="O11" s="41">
        <f>N11-0.4401</f>
        <v>2.0841217741935454</v>
      </c>
      <c r="P11" s="46">
        <f t="shared" si="4"/>
        <v>176619.12</v>
      </c>
      <c r="Q11" s="43">
        <v>21.9</v>
      </c>
      <c r="R11" s="44">
        <f t="shared" si="5"/>
        <v>87.4803006934156</v>
      </c>
    </row>
    <row r="12" spans="1:18" x14ac:dyDescent="0.25">
      <c r="A12" s="31" t="s">
        <v>35</v>
      </c>
      <c r="B12" s="45" t="s">
        <v>36</v>
      </c>
      <c r="C12" s="33">
        <v>0.63701000000000008</v>
      </c>
      <c r="D12" s="33">
        <v>0</v>
      </c>
      <c r="E12" s="34">
        <v>0</v>
      </c>
      <c r="F12" s="34">
        <v>0</v>
      </c>
      <c r="G12" s="33">
        <v>2.5590000000000002E-2</v>
      </c>
      <c r="H12" s="35">
        <f t="shared" si="0"/>
        <v>0.66260000000000008</v>
      </c>
      <c r="I12" s="21">
        <f>(46.69+2.66)/744</f>
        <v>6.6330645161290308E-2</v>
      </c>
      <c r="J12" s="36">
        <f>20.76/744</f>
        <v>2.7903225806451614E-2</v>
      </c>
      <c r="K12" s="37">
        <v>0</v>
      </c>
      <c r="L12" s="38">
        <f t="shared" si="1"/>
        <v>0.75683387096774202</v>
      </c>
      <c r="M12" s="39">
        <f>0.184+0.184+0.154+0.166</f>
        <v>0.68800000000000006</v>
      </c>
      <c r="N12" s="40">
        <f t="shared" si="2"/>
        <v>-3.3870967741989055E-5</v>
      </c>
      <c r="O12" s="49" t="s">
        <v>37</v>
      </c>
      <c r="P12" s="46">
        <f t="shared" si="4"/>
        <v>6026.880000000001</v>
      </c>
      <c r="Q12" s="43">
        <v>0.75680000000000003</v>
      </c>
      <c r="R12" s="44">
        <f t="shared" si="5"/>
        <v>110.00492310577646</v>
      </c>
    </row>
    <row r="13" spans="1:18" ht="33.75" x14ac:dyDescent="0.25">
      <c r="A13" s="31" t="s">
        <v>38</v>
      </c>
      <c r="B13" s="45" t="s">
        <v>39</v>
      </c>
      <c r="C13" s="33">
        <v>0.21560000000000001</v>
      </c>
      <c r="D13" s="33">
        <v>5.4000000000000003E-3</v>
      </c>
      <c r="E13" s="34">
        <v>0</v>
      </c>
      <c r="F13" s="34">
        <v>0</v>
      </c>
      <c r="G13" s="33">
        <v>8.0000000000000002E-3</v>
      </c>
      <c r="H13" s="35">
        <f t="shared" si="0"/>
        <v>0.22900000000000001</v>
      </c>
      <c r="I13" s="21">
        <f>(20.22+1.01)/744</f>
        <v>2.8534946236559139E-2</v>
      </c>
      <c r="J13" s="36">
        <f>9.71/744</f>
        <v>1.3051075268817205E-2</v>
      </c>
      <c r="K13" s="37">
        <v>0</v>
      </c>
      <c r="L13" s="38">
        <f t="shared" si="1"/>
        <v>0.27058602150537636</v>
      </c>
      <c r="M13" s="50">
        <f>0.208+0.203+0.204</f>
        <v>0.61499999999999999</v>
      </c>
      <c r="N13" s="40">
        <f t="shared" si="2"/>
        <v>1.5594139784946237</v>
      </c>
      <c r="O13" s="49" t="s">
        <v>37</v>
      </c>
      <c r="P13" s="46">
        <f t="shared" si="4"/>
        <v>5387.4</v>
      </c>
      <c r="Q13" s="43">
        <f>0.61*3</f>
        <v>1.83</v>
      </c>
      <c r="R13" s="44">
        <f t="shared" si="5"/>
        <v>43.997727074044938</v>
      </c>
    </row>
    <row r="14" spans="1:18" ht="22.5" x14ac:dyDescent="0.25">
      <c r="A14" s="31" t="s">
        <v>40</v>
      </c>
      <c r="B14" s="45" t="s">
        <v>41</v>
      </c>
      <c r="C14" s="33">
        <v>1.2821799999999999</v>
      </c>
      <c r="D14" s="33">
        <v>0</v>
      </c>
      <c r="E14" s="34">
        <v>0</v>
      </c>
      <c r="F14" s="34">
        <v>0</v>
      </c>
      <c r="G14" s="33">
        <v>1.183E-2</v>
      </c>
      <c r="H14" s="35">
        <f t="shared" si="0"/>
        <v>1.2940099999999999</v>
      </c>
      <c r="I14" s="21">
        <f>(49.98+5.91)/744</f>
        <v>7.5120967741935482E-2</v>
      </c>
      <c r="J14" s="36">
        <f>13.02/744</f>
        <v>1.7499999999999998E-2</v>
      </c>
      <c r="K14" s="37">
        <v>0</v>
      </c>
      <c r="L14" s="38">
        <f t="shared" si="1"/>
        <v>1.3866309677419355</v>
      </c>
      <c r="M14" s="50">
        <f>0.949+0.931+0.08</f>
        <v>1.96</v>
      </c>
      <c r="N14" s="40">
        <f>0.949+0.931+0.08-L14</f>
        <v>0.57336903225806446</v>
      </c>
      <c r="O14" s="49">
        <f>N14</f>
        <v>0.57336903225806446</v>
      </c>
      <c r="P14" s="46">
        <f t="shared" si="4"/>
        <v>17169.599999999999</v>
      </c>
      <c r="Q14" s="43">
        <v>2.0118999999999998</v>
      </c>
      <c r="R14" s="44">
        <f t="shared" si="5"/>
        <v>70.746477946017123</v>
      </c>
    </row>
    <row r="15" spans="1:18" ht="45" x14ac:dyDescent="0.25">
      <c r="A15" s="31" t="s">
        <v>42</v>
      </c>
      <c r="B15" s="45" t="s">
        <v>43</v>
      </c>
      <c r="C15" s="33">
        <v>2.35066</v>
      </c>
      <c r="D15" s="33">
        <v>0.19900000000000001</v>
      </c>
      <c r="E15" s="34">
        <v>0</v>
      </c>
      <c r="F15" s="34">
        <v>0</v>
      </c>
      <c r="G15" s="33">
        <v>0.5200800000000001</v>
      </c>
      <c r="H15" s="35">
        <f t="shared" si="0"/>
        <v>3.0697399999999999</v>
      </c>
      <c r="I15" s="21">
        <f>(55.35+11.19)/744</f>
        <v>8.9435483870967752E-2</v>
      </c>
      <c r="J15" s="36">
        <f>31.2/744</f>
        <v>4.1935483870967738E-2</v>
      </c>
      <c r="K15" s="37">
        <v>0</v>
      </c>
      <c r="L15" s="38">
        <f t="shared" si="1"/>
        <v>3.2011109677419354</v>
      </c>
      <c r="M15" s="39">
        <f>0.56+0.544+0.573+0.58+0.589+0.688+0.569+0.54</f>
        <v>4.6429999999999998</v>
      </c>
      <c r="N15" s="40">
        <f t="shared" si="2"/>
        <v>1.4788890322580643</v>
      </c>
      <c r="O15" s="49" t="s">
        <v>37</v>
      </c>
      <c r="P15" s="46">
        <f t="shared" si="4"/>
        <v>40672.68</v>
      </c>
      <c r="Q15" s="43">
        <v>4.68</v>
      </c>
      <c r="R15" s="44">
        <f t="shared" si="5"/>
        <v>68.944884078008513</v>
      </c>
    </row>
    <row r="16" spans="1:18" ht="33.75" x14ac:dyDescent="0.25">
      <c r="A16" s="31" t="s">
        <v>44</v>
      </c>
      <c r="B16" s="45" t="s">
        <v>45</v>
      </c>
      <c r="C16" s="33">
        <v>4.7844100000000012</v>
      </c>
      <c r="D16" s="33">
        <v>0.12998000000000001</v>
      </c>
      <c r="E16" s="34">
        <v>0</v>
      </c>
      <c r="F16" s="34">
        <v>0</v>
      </c>
      <c r="G16" s="33">
        <v>0.42693000000000003</v>
      </c>
      <c r="H16" s="35">
        <f t="shared" si="0"/>
        <v>5.3413200000000014</v>
      </c>
      <c r="I16" s="21">
        <f>(318.87+23.91)/744</f>
        <v>0.46072580645161293</v>
      </c>
      <c r="J16" s="36">
        <f>67.75/744</f>
        <v>9.106182795698925E-2</v>
      </c>
      <c r="K16" s="37">
        <v>0</v>
      </c>
      <c r="L16" s="38">
        <f t="shared" si="1"/>
        <v>5.8931076344086035</v>
      </c>
      <c r="M16" s="39">
        <f>0.827+0.649+0.806+0.807+0.603+0.806+0.818+0.716+0.826</f>
        <v>6.8579999999999997</v>
      </c>
      <c r="N16" s="40">
        <f t="shared" si="2"/>
        <v>1.8468923655913967</v>
      </c>
      <c r="O16" s="49" t="s">
        <v>37</v>
      </c>
      <c r="P16" s="46">
        <f t="shared" si="4"/>
        <v>60076.08</v>
      </c>
      <c r="Q16" s="43">
        <v>7.74</v>
      </c>
      <c r="R16" s="44">
        <f t="shared" si="5"/>
        <v>85.9304117003296</v>
      </c>
    </row>
    <row r="17" spans="1:18" ht="45" x14ac:dyDescent="0.25">
      <c r="A17" s="31" t="s">
        <v>46</v>
      </c>
      <c r="B17" s="45" t="s">
        <v>47</v>
      </c>
      <c r="C17" s="33">
        <v>0</v>
      </c>
      <c r="D17" s="33">
        <v>6.3299999999999995E-2</v>
      </c>
      <c r="E17" s="34">
        <v>0</v>
      </c>
      <c r="F17" s="34">
        <v>0</v>
      </c>
      <c r="G17" s="33">
        <v>0.40930000000000011</v>
      </c>
      <c r="H17" s="35">
        <f t="shared" si="0"/>
        <v>0.47260000000000013</v>
      </c>
      <c r="I17" s="21">
        <f>(112.16+0.27)/744</f>
        <v>0.15111559139784944</v>
      </c>
      <c r="J17" s="36">
        <f>18.2/744</f>
        <v>2.4462365591397847E-2</v>
      </c>
      <c r="K17" s="37">
        <v>0</v>
      </c>
      <c r="L17" s="38">
        <f t="shared" si="1"/>
        <v>0.64817795698924741</v>
      </c>
      <c r="M17" s="39">
        <f>0.379+0.344+0.507+0.349</f>
        <v>1.579</v>
      </c>
      <c r="N17" s="40">
        <f>0.379+0.344+0.507+0.356-L17</f>
        <v>0.93782204301075245</v>
      </c>
      <c r="O17" s="41">
        <f t="shared" si="3"/>
        <v>0.93782204301075245</v>
      </c>
      <c r="P17" s="46">
        <f t="shared" si="4"/>
        <v>13832.04</v>
      </c>
      <c r="Q17" s="43">
        <v>2.13</v>
      </c>
      <c r="R17" s="44">
        <f>L17/M17*100</f>
        <v>41.049902279243028</v>
      </c>
    </row>
    <row r="18" spans="1:18" ht="33" customHeight="1" x14ac:dyDescent="0.25">
      <c r="A18" s="31" t="s">
        <v>48</v>
      </c>
      <c r="B18" s="45" t="s">
        <v>49</v>
      </c>
      <c r="C18" s="33">
        <v>36.09205</v>
      </c>
      <c r="D18" s="33">
        <v>0.58309999999999995</v>
      </c>
      <c r="E18" s="33">
        <v>0.71250000000000002</v>
      </c>
      <c r="F18" s="34">
        <v>0</v>
      </c>
      <c r="G18" s="33">
        <v>2.6253000000000006</v>
      </c>
      <c r="H18" s="35">
        <f t="shared" si="0"/>
        <v>40.012950000000004</v>
      </c>
      <c r="I18" s="21">
        <f>(1640.37+1449.81+181.96)/744</f>
        <v>4.3980376344086016</v>
      </c>
      <c r="J18" s="36">
        <f>674.28/744</f>
        <v>0.90629032258064512</v>
      </c>
      <c r="K18" s="37">
        <v>0</v>
      </c>
      <c r="L18" s="38">
        <f t="shared" si="1"/>
        <v>45.317277956989251</v>
      </c>
      <c r="M18" s="39">
        <f>6.516+5.141+13.301+13.815+13.739</f>
        <v>52.512</v>
      </c>
      <c r="N18" s="40">
        <f>52.512-L18</f>
        <v>7.1947220430107492</v>
      </c>
      <c r="O18" s="51">
        <f>N18</f>
        <v>7.1947220430107492</v>
      </c>
      <c r="P18" s="46">
        <f t="shared" si="4"/>
        <v>460005.12</v>
      </c>
      <c r="Q18" s="52">
        <v>78.400000000000006</v>
      </c>
      <c r="R18" s="44">
        <f t="shared" si="5"/>
        <v>86.298899217301283</v>
      </c>
    </row>
    <row r="19" spans="1:18" ht="15" customHeight="1" x14ac:dyDescent="0.25">
      <c r="A19" s="31" t="s">
        <v>50</v>
      </c>
      <c r="B19" s="53" t="s">
        <v>51</v>
      </c>
      <c r="C19" s="33">
        <v>0.24740000000000001</v>
      </c>
      <c r="D19" s="33">
        <v>0</v>
      </c>
      <c r="E19" s="34">
        <v>0</v>
      </c>
      <c r="F19" s="34">
        <v>0</v>
      </c>
      <c r="G19" s="33">
        <v>0</v>
      </c>
      <c r="H19" s="35">
        <f t="shared" si="0"/>
        <v>0.24740000000000001</v>
      </c>
      <c r="I19" s="21">
        <f>(22.01+1.14)/744</f>
        <v>3.1115591397849467E-2</v>
      </c>
      <c r="J19" s="36">
        <f>2.21/744</f>
        <v>2.9704301075268815E-3</v>
      </c>
      <c r="K19" s="37">
        <v>0</v>
      </c>
      <c r="L19" s="38">
        <f t="shared" si="1"/>
        <v>0.28148602150537638</v>
      </c>
      <c r="M19" s="39">
        <f>0.192+0.193</f>
        <v>0.38500000000000001</v>
      </c>
      <c r="N19" s="40">
        <f t="shared" si="2"/>
        <v>0.10451397849462363</v>
      </c>
      <c r="O19" s="41">
        <f t="shared" si="3"/>
        <v>0.10451397849462363</v>
      </c>
      <c r="P19" s="46">
        <f t="shared" si="4"/>
        <v>3372.6000000000004</v>
      </c>
      <c r="Q19" s="43">
        <v>0.38600000000000001</v>
      </c>
      <c r="R19" s="44">
        <f t="shared" si="5"/>
        <v>73.113252339058803</v>
      </c>
    </row>
    <row r="20" spans="1:18" ht="12.75" customHeight="1" x14ac:dyDescent="0.25">
      <c r="A20" s="31" t="s">
        <v>52</v>
      </c>
      <c r="B20" s="53" t="s">
        <v>53</v>
      </c>
      <c r="C20" s="33">
        <v>0.51493</v>
      </c>
      <c r="D20" s="33">
        <v>0</v>
      </c>
      <c r="E20" s="34">
        <v>0</v>
      </c>
      <c r="F20" s="34">
        <v>0</v>
      </c>
      <c r="G20" s="33">
        <v>6.2500000000000003E-3</v>
      </c>
      <c r="H20" s="35">
        <f t="shared" si="0"/>
        <v>0.52117999999999998</v>
      </c>
      <c r="I20" s="21">
        <f>(14.84+2.37)/744</f>
        <v>2.3131720430107527E-2</v>
      </c>
      <c r="J20" s="36">
        <f>9.81/744</f>
        <v>1.3185483870967742E-2</v>
      </c>
      <c r="K20" s="37">
        <v>0</v>
      </c>
      <c r="L20" s="38">
        <f t="shared" si="1"/>
        <v>0.5574972043010753</v>
      </c>
      <c r="M20" s="39">
        <f>0.48+0.319</f>
        <v>0.79899999999999993</v>
      </c>
      <c r="N20" s="40">
        <f>0.48+0.319-L20</f>
        <v>0.24150279569892463</v>
      </c>
      <c r="O20" s="41">
        <f t="shared" si="3"/>
        <v>0.24150279569892463</v>
      </c>
      <c r="P20" s="46">
        <f t="shared" si="4"/>
        <v>6999.24</v>
      </c>
      <c r="Q20" s="43">
        <v>0.88</v>
      </c>
      <c r="R20" s="44">
        <f t="shared" si="5"/>
        <v>69.774368498257246</v>
      </c>
    </row>
    <row r="21" spans="1:18" ht="33.75" x14ac:dyDescent="0.25">
      <c r="A21" s="31" t="s">
        <v>54</v>
      </c>
      <c r="B21" s="53" t="s">
        <v>55</v>
      </c>
      <c r="C21" s="33">
        <v>0.183</v>
      </c>
      <c r="D21" s="33">
        <v>0</v>
      </c>
      <c r="E21" s="34">
        <v>0</v>
      </c>
      <c r="F21" s="34">
        <v>0</v>
      </c>
      <c r="G21" s="33">
        <v>0</v>
      </c>
      <c r="H21" s="35">
        <f t="shared" si="0"/>
        <v>0.183</v>
      </c>
      <c r="I21" s="21">
        <f>(1.4+0.84)/744</f>
        <v>3.0107526881720426E-3</v>
      </c>
      <c r="J21" s="36">
        <f>1.94/744</f>
        <v>2.6075268817204299E-3</v>
      </c>
      <c r="K21" s="37">
        <v>0</v>
      </c>
      <c r="L21" s="38">
        <f t="shared" si="1"/>
        <v>0.18861827956989247</v>
      </c>
      <c r="M21" s="39">
        <f>0.061+0.062+0.062+0.063</f>
        <v>0.248</v>
      </c>
      <c r="N21" s="40">
        <f>0.061+0.062+0.062+0.063-L21</f>
        <v>5.9381720430107532E-2</v>
      </c>
      <c r="O21" s="41">
        <f t="shared" si="3"/>
        <v>5.9381720430107532E-2</v>
      </c>
      <c r="P21" s="46">
        <f t="shared" si="4"/>
        <v>2172.48</v>
      </c>
      <c r="Q21" s="43">
        <v>0.34399999999999997</v>
      </c>
      <c r="R21" s="44">
        <f t="shared" si="5"/>
        <v>76.055757891085676</v>
      </c>
    </row>
    <row r="22" spans="1:18" ht="33.75" x14ac:dyDescent="0.25">
      <c r="A22" s="31" t="s">
        <v>56</v>
      </c>
      <c r="B22" s="53" t="s">
        <v>57</v>
      </c>
      <c r="C22" s="33">
        <v>1.13405</v>
      </c>
      <c r="D22" s="33">
        <v>0</v>
      </c>
      <c r="E22" s="34">
        <v>0</v>
      </c>
      <c r="F22" s="34">
        <v>0</v>
      </c>
      <c r="G22" s="33">
        <v>0</v>
      </c>
      <c r="H22" s="35">
        <f t="shared" si="0"/>
        <v>1.13405</v>
      </c>
      <c r="I22" s="21">
        <f>(30.28+146.51+6.35)/744</f>
        <v>0.24615591397849459</v>
      </c>
      <c r="J22" s="36">
        <f>14.2/744</f>
        <v>1.9086021505376343E-2</v>
      </c>
      <c r="K22" s="36">
        <v>0.222</v>
      </c>
      <c r="L22" s="38">
        <f>H22+I22+J22+K22</f>
        <v>1.6212919354838708</v>
      </c>
      <c r="M22" s="39">
        <f>0.818+0.822</f>
        <v>1.64</v>
      </c>
      <c r="N22" s="40">
        <f t="shared" si="2"/>
        <v>1.2708064516129047E-2</v>
      </c>
      <c r="O22" s="49">
        <f>N22</f>
        <v>1.2708064516129047E-2</v>
      </c>
      <c r="P22" s="46">
        <f t="shared" si="4"/>
        <v>14366.399999999998</v>
      </c>
      <c r="Q22" s="54">
        <v>1.6339999999999999</v>
      </c>
      <c r="R22" s="44">
        <v>100</v>
      </c>
    </row>
    <row r="23" spans="1:18" ht="33.75" x14ac:dyDescent="0.25">
      <c r="A23" s="31" t="s">
        <v>58</v>
      </c>
      <c r="B23" s="53" t="s">
        <v>59</v>
      </c>
      <c r="C23" s="33">
        <v>0.39419999999999999</v>
      </c>
      <c r="D23" s="33">
        <v>0</v>
      </c>
      <c r="E23" s="34">
        <v>0</v>
      </c>
      <c r="F23" s="34">
        <v>0</v>
      </c>
      <c r="G23" s="33">
        <v>0</v>
      </c>
      <c r="H23" s="35">
        <f t="shared" si="0"/>
        <v>0.39419999999999999</v>
      </c>
      <c r="I23" s="21">
        <f>(8.9+19.18+1.81)/744</f>
        <v>4.0174731182795693E-2</v>
      </c>
      <c r="J23" s="36">
        <f>8.4/744</f>
        <v>1.1290322580645162E-2</v>
      </c>
      <c r="K23" s="37">
        <v>0</v>
      </c>
      <c r="L23" s="38">
        <f>H23+I23+J23</f>
        <v>0.44566505376344084</v>
      </c>
      <c r="M23" s="39">
        <f>0.181+0.192</f>
        <v>0.373</v>
      </c>
      <c r="N23" s="40">
        <f>0.181+0.192-L23</f>
        <v>-7.2665053763440846E-2</v>
      </c>
      <c r="O23" s="49" t="s">
        <v>37</v>
      </c>
      <c r="P23" s="46">
        <f t="shared" si="4"/>
        <v>3267.4800000000005</v>
      </c>
      <c r="Q23" s="54">
        <v>1.72</v>
      </c>
      <c r="R23" s="44">
        <f t="shared" si="5"/>
        <v>119.48124765775894</v>
      </c>
    </row>
    <row r="24" spans="1:18" ht="34.5" thickBot="1" x14ac:dyDescent="0.3">
      <c r="A24" s="55" t="s">
        <v>60</v>
      </c>
      <c r="B24" s="56" t="s">
        <v>61</v>
      </c>
      <c r="C24" s="57">
        <v>1.3481800000000002</v>
      </c>
      <c r="D24" s="57">
        <v>1.1180000000000001E-2</v>
      </c>
      <c r="E24" s="58">
        <v>0</v>
      </c>
      <c r="F24" s="58">
        <v>0</v>
      </c>
      <c r="G24" s="57">
        <v>5.466E-2</v>
      </c>
      <c r="H24" s="59">
        <f t="shared" si="0"/>
        <v>1.4140200000000001</v>
      </c>
      <c r="I24" s="60">
        <f>(73.3+88.2+6.34)/744+0.01</f>
        <v>0.23559139784946237</v>
      </c>
      <c r="J24" s="61">
        <f>22.51/744</f>
        <v>3.0255376344086024E-2</v>
      </c>
      <c r="K24" s="62">
        <v>0</v>
      </c>
      <c r="L24" s="63">
        <f>H24+I24+J24</f>
        <v>1.6798667741935485</v>
      </c>
      <c r="M24" s="64">
        <v>1.7629999999999999</v>
      </c>
      <c r="N24" s="65">
        <f t="shared" si="2"/>
        <v>8.3133225806451438E-2</v>
      </c>
      <c r="O24" s="66">
        <f>N24</f>
        <v>8.3133225806451438E-2</v>
      </c>
      <c r="P24" s="67">
        <f t="shared" si="4"/>
        <v>15443.880000000001</v>
      </c>
      <c r="Q24" s="68">
        <v>1.7629999999999999</v>
      </c>
      <c r="R24" s="30">
        <f t="shared" si="5"/>
        <v>95.284558944614218</v>
      </c>
    </row>
    <row r="25" spans="1:18" ht="15.75" thickBot="1" x14ac:dyDescent="0.3">
      <c r="A25" s="69" t="s">
        <v>18</v>
      </c>
      <c r="B25" s="70"/>
      <c r="C25" s="71">
        <f>SUM(C4:C24)</f>
        <v>73.95986000000002</v>
      </c>
      <c r="D25" s="71">
        <f t="shared" ref="D25:L25" si="6">SUM(D4:D24)</f>
        <v>1.03026</v>
      </c>
      <c r="E25" s="71">
        <f t="shared" si="6"/>
        <v>0.72450000000000003</v>
      </c>
      <c r="F25" s="71">
        <f t="shared" si="6"/>
        <v>0</v>
      </c>
      <c r="G25" s="71">
        <f t="shared" si="6"/>
        <v>4.8349600000000006</v>
      </c>
      <c r="H25" s="71">
        <f t="shared" si="6"/>
        <v>80.549580000000006</v>
      </c>
      <c r="I25" s="72">
        <f>SUM(I4:I24)</f>
        <v>8.4293145161290344</v>
      </c>
      <c r="J25" s="73">
        <f t="shared" si="6"/>
        <v>1.7012365591397849</v>
      </c>
      <c r="K25" s="73">
        <f t="shared" si="6"/>
        <v>0.23014499999999999</v>
      </c>
      <c r="L25" s="74">
        <f t="shared" si="6"/>
        <v>90.910276075268811</v>
      </c>
      <c r="M25" s="75">
        <f>SUM(M4:M24)</f>
        <v>111.88300000000004</v>
      </c>
      <c r="N25" s="75">
        <f>SUM(N4:N24)</f>
        <v>23.083623924731175</v>
      </c>
      <c r="O25" s="75">
        <f>SUM(O4:O24)</f>
        <v>17.831027473118272</v>
      </c>
      <c r="P25" s="76">
        <f>SUM(P4:P24)</f>
        <v>980095.08</v>
      </c>
      <c r="Q25" s="77">
        <f>SUM(Q4:Q24)</f>
        <v>146.34579999999997</v>
      </c>
      <c r="R25" s="78">
        <f t="shared" si="5"/>
        <v>81.254771569647559</v>
      </c>
    </row>
    <row r="26" spans="1:18" x14ac:dyDescent="0.25">
      <c r="A26" s="79" t="s">
        <v>62</v>
      </c>
      <c r="B26" s="80"/>
    </row>
    <row r="28" spans="1:18" x14ac:dyDescent="0.25">
      <c r="J28" s="81"/>
      <c r="L28" s="82"/>
      <c r="N28" s="82">
        <f>N6+N8</f>
        <v>0.42509537634408545</v>
      </c>
    </row>
  </sheetData>
  <mergeCells count="14">
    <mergeCell ref="O2:O3"/>
    <mergeCell ref="P2:P3"/>
    <mergeCell ref="Q2:Q3"/>
    <mergeCell ref="R2:R3"/>
    <mergeCell ref="A1:O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tabSelected="1" workbookViewId="0">
      <selection activeCell="I28" sqref="I28"/>
    </sheetView>
  </sheetViews>
  <sheetFormatPr defaultRowHeight="15" x14ac:dyDescent="0.25"/>
  <cols>
    <col min="1" max="1" width="16.85546875" customWidth="1"/>
    <col min="2" max="2" width="25.42578125" customWidth="1"/>
    <col min="9" max="9" width="16.28515625" customWidth="1"/>
    <col min="10" max="11" width="16.42578125" customWidth="1"/>
    <col min="12" max="12" width="19.85546875" customWidth="1"/>
    <col min="13" max="13" width="21.28515625" customWidth="1"/>
    <col min="14" max="14" width="18.42578125" customWidth="1"/>
    <col min="15" max="15" width="17" customWidth="1"/>
    <col min="16" max="16" width="21.140625" customWidth="1"/>
    <col min="17" max="17" width="21" customWidth="1"/>
    <col min="18" max="18" width="17.85546875" customWidth="1"/>
    <col min="257" max="257" width="16.85546875" customWidth="1"/>
    <col min="258" max="258" width="25.42578125" customWidth="1"/>
    <col min="265" max="265" width="16.28515625" customWidth="1"/>
    <col min="266" max="267" width="16.42578125" customWidth="1"/>
    <col min="268" max="268" width="19.85546875" customWidth="1"/>
    <col min="269" max="269" width="21.28515625" customWidth="1"/>
    <col min="270" max="270" width="18.42578125" customWidth="1"/>
    <col min="271" max="271" width="17" customWidth="1"/>
    <col min="272" max="272" width="21.140625" customWidth="1"/>
    <col min="273" max="273" width="21" customWidth="1"/>
    <col min="274" max="274" width="17.85546875" customWidth="1"/>
    <col min="513" max="513" width="16.85546875" customWidth="1"/>
    <col min="514" max="514" width="25.42578125" customWidth="1"/>
    <col min="521" max="521" width="16.28515625" customWidth="1"/>
    <col min="522" max="523" width="16.42578125" customWidth="1"/>
    <col min="524" max="524" width="19.85546875" customWidth="1"/>
    <col min="525" max="525" width="21.28515625" customWidth="1"/>
    <col min="526" max="526" width="18.42578125" customWidth="1"/>
    <col min="527" max="527" width="17" customWidth="1"/>
    <col min="528" max="528" width="21.140625" customWidth="1"/>
    <col min="529" max="529" width="21" customWidth="1"/>
    <col min="530" max="530" width="17.85546875" customWidth="1"/>
    <col min="769" max="769" width="16.85546875" customWidth="1"/>
    <col min="770" max="770" width="25.42578125" customWidth="1"/>
    <col min="777" max="777" width="16.28515625" customWidth="1"/>
    <col min="778" max="779" width="16.42578125" customWidth="1"/>
    <col min="780" max="780" width="19.85546875" customWidth="1"/>
    <col min="781" max="781" width="21.28515625" customWidth="1"/>
    <col min="782" max="782" width="18.42578125" customWidth="1"/>
    <col min="783" max="783" width="17" customWidth="1"/>
    <col min="784" max="784" width="21.140625" customWidth="1"/>
    <col min="785" max="785" width="21" customWidth="1"/>
    <col min="786" max="786" width="17.85546875" customWidth="1"/>
    <col min="1025" max="1025" width="16.85546875" customWidth="1"/>
    <col min="1026" max="1026" width="25.42578125" customWidth="1"/>
    <col min="1033" max="1033" width="16.28515625" customWidth="1"/>
    <col min="1034" max="1035" width="16.42578125" customWidth="1"/>
    <col min="1036" max="1036" width="19.85546875" customWidth="1"/>
    <col min="1037" max="1037" width="21.28515625" customWidth="1"/>
    <col min="1038" max="1038" width="18.42578125" customWidth="1"/>
    <col min="1039" max="1039" width="17" customWidth="1"/>
    <col min="1040" max="1040" width="21.140625" customWidth="1"/>
    <col min="1041" max="1041" width="21" customWidth="1"/>
    <col min="1042" max="1042" width="17.85546875" customWidth="1"/>
    <col min="1281" max="1281" width="16.85546875" customWidth="1"/>
    <col min="1282" max="1282" width="25.42578125" customWidth="1"/>
    <col min="1289" max="1289" width="16.28515625" customWidth="1"/>
    <col min="1290" max="1291" width="16.42578125" customWidth="1"/>
    <col min="1292" max="1292" width="19.85546875" customWidth="1"/>
    <col min="1293" max="1293" width="21.28515625" customWidth="1"/>
    <col min="1294" max="1294" width="18.42578125" customWidth="1"/>
    <col min="1295" max="1295" width="17" customWidth="1"/>
    <col min="1296" max="1296" width="21.140625" customWidth="1"/>
    <col min="1297" max="1297" width="21" customWidth="1"/>
    <col min="1298" max="1298" width="17.85546875" customWidth="1"/>
    <col min="1537" max="1537" width="16.85546875" customWidth="1"/>
    <col min="1538" max="1538" width="25.42578125" customWidth="1"/>
    <col min="1545" max="1545" width="16.28515625" customWidth="1"/>
    <col min="1546" max="1547" width="16.42578125" customWidth="1"/>
    <col min="1548" max="1548" width="19.85546875" customWidth="1"/>
    <col min="1549" max="1549" width="21.28515625" customWidth="1"/>
    <col min="1550" max="1550" width="18.42578125" customWidth="1"/>
    <col min="1551" max="1551" width="17" customWidth="1"/>
    <col min="1552" max="1552" width="21.140625" customWidth="1"/>
    <col min="1553" max="1553" width="21" customWidth="1"/>
    <col min="1554" max="1554" width="17.85546875" customWidth="1"/>
    <col min="1793" max="1793" width="16.85546875" customWidth="1"/>
    <col min="1794" max="1794" width="25.42578125" customWidth="1"/>
    <col min="1801" max="1801" width="16.28515625" customWidth="1"/>
    <col min="1802" max="1803" width="16.42578125" customWidth="1"/>
    <col min="1804" max="1804" width="19.85546875" customWidth="1"/>
    <col min="1805" max="1805" width="21.28515625" customWidth="1"/>
    <col min="1806" max="1806" width="18.42578125" customWidth="1"/>
    <col min="1807" max="1807" width="17" customWidth="1"/>
    <col min="1808" max="1808" width="21.140625" customWidth="1"/>
    <col min="1809" max="1809" width="21" customWidth="1"/>
    <col min="1810" max="1810" width="17.85546875" customWidth="1"/>
    <col min="2049" max="2049" width="16.85546875" customWidth="1"/>
    <col min="2050" max="2050" width="25.42578125" customWidth="1"/>
    <col min="2057" max="2057" width="16.28515625" customWidth="1"/>
    <col min="2058" max="2059" width="16.42578125" customWidth="1"/>
    <col min="2060" max="2060" width="19.85546875" customWidth="1"/>
    <col min="2061" max="2061" width="21.28515625" customWidth="1"/>
    <col min="2062" max="2062" width="18.42578125" customWidth="1"/>
    <col min="2063" max="2063" width="17" customWidth="1"/>
    <col min="2064" max="2064" width="21.140625" customWidth="1"/>
    <col min="2065" max="2065" width="21" customWidth="1"/>
    <col min="2066" max="2066" width="17.85546875" customWidth="1"/>
    <col min="2305" max="2305" width="16.85546875" customWidth="1"/>
    <col min="2306" max="2306" width="25.42578125" customWidth="1"/>
    <col min="2313" max="2313" width="16.28515625" customWidth="1"/>
    <col min="2314" max="2315" width="16.42578125" customWidth="1"/>
    <col min="2316" max="2316" width="19.85546875" customWidth="1"/>
    <col min="2317" max="2317" width="21.28515625" customWidth="1"/>
    <col min="2318" max="2318" width="18.42578125" customWidth="1"/>
    <col min="2319" max="2319" width="17" customWidth="1"/>
    <col min="2320" max="2320" width="21.140625" customWidth="1"/>
    <col min="2321" max="2321" width="21" customWidth="1"/>
    <col min="2322" max="2322" width="17.85546875" customWidth="1"/>
    <col min="2561" max="2561" width="16.85546875" customWidth="1"/>
    <col min="2562" max="2562" width="25.42578125" customWidth="1"/>
    <col min="2569" max="2569" width="16.28515625" customWidth="1"/>
    <col min="2570" max="2571" width="16.42578125" customWidth="1"/>
    <col min="2572" max="2572" width="19.85546875" customWidth="1"/>
    <col min="2573" max="2573" width="21.28515625" customWidth="1"/>
    <col min="2574" max="2574" width="18.42578125" customWidth="1"/>
    <col min="2575" max="2575" width="17" customWidth="1"/>
    <col min="2576" max="2576" width="21.140625" customWidth="1"/>
    <col min="2577" max="2577" width="21" customWidth="1"/>
    <col min="2578" max="2578" width="17.85546875" customWidth="1"/>
    <col min="2817" max="2817" width="16.85546875" customWidth="1"/>
    <col min="2818" max="2818" width="25.42578125" customWidth="1"/>
    <col min="2825" max="2825" width="16.28515625" customWidth="1"/>
    <col min="2826" max="2827" width="16.42578125" customWidth="1"/>
    <col min="2828" max="2828" width="19.85546875" customWidth="1"/>
    <col min="2829" max="2829" width="21.28515625" customWidth="1"/>
    <col min="2830" max="2830" width="18.42578125" customWidth="1"/>
    <col min="2831" max="2831" width="17" customWidth="1"/>
    <col min="2832" max="2832" width="21.140625" customWidth="1"/>
    <col min="2833" max="2833" width="21" customWidth="1"/>
    <col min="2834" max="2834" width="17.85546875" customWidth="1"/>
    <col min="3073" max="3073" width="16.85546875" customWidth="1"/>
    <col min="3074" max="3074" width="25.42578125" customWidth="1"/>
    <col min="3081" max="3081" width="16.28515625" customWidth="1"/>
    <col min="3082" max="3083" width="16.42578125" customWidth="1"/>
    <col min="3084" max="3084" width="19.85546875" customWidth="1"/>
    <col min="3085" max="3085" width="21.28515625" customWidth="1"/>
    <col min="3086" max="3086" width="18.42578125" customWidth="1"/>
    <col min="3087" max="3087" width="17" customWidth="1"/>
    <col min="3088" max="3088" width="21.140625" customWidth="1"/>
    <col min="3089" max="3089" width="21" customWidth="1"/>
    <col min="3090" max="3090" width="17.85546875" customWidth="1"/>
    <col min="3329" max="3329" width="16.85546875" customWidth="1"/>
    <col min="3330" max="3330" width="25.42578125" customWidth="1"/>
    <col min="3337" max="3337" width="16.28515625" customWidth="1"/>
    <col min="3338" max="3339" width="16.42578125" customWidth="1"/>
    <col min="3340" max="3340" width="19.85546875" customWidth="1"/>
    <col min="3341" max="3341" width="21.28515625" customWidth="1"/>
    <col min="3342" max="3342" width="18.42578125" customWidth="1"/>
    <col min="3343" max="3343" width="17" customWidth="1"/>
    <col min="3344" max="3344" width="21.140625" customWidth="1"/>
    <col min="3345" max="3345" width="21" customWidth="1"/>
    <col min="3346" max="3346" width="17.85546875" customWidth="1"/>
    <col min="3585" max="3585" width="16.85546875" customWidth="1"/>
    <col min="3586" max="3586" width="25.42578125" customWidth="1"/>
    <col min="3593" max="3593" width="16.28515625" customWidth="1"/>
    <col min="3594" max="3595" width="16.42578125" customWidth="1"/>
    <col min="3596" max="3596" width="19.85546875" customWidth="1"/>
    <col min="3597" max="3597" width="21.28515625" customWidth="1"/>
    <col min="3598" max="3598" width="18.42578125" customWidth="1"/>
    <col min="3599" max="3599" width="17" customWidth="1"/>
    <col min="3600" max="3600" width="21.140625" customWidth="1"/>
    <col min="3601" max="3601" width="21" customWidth="1"/>
    <col min="3602" max="3602" width="17.85546875" customWidth="1"/>
    <col min="3841" max="3841" width="16.85546875" customWidth="1"/>
    <col min="3842" max="3842" width="25.42578125" customWidth="1"/>
    <col min="3849" max="3849" width="16.28515625" customWidth="1"/>
    <col min="3850" max="3851" width="16.42578125" customWidth="1"/>
    <col min="3852" max="3852" width="19.85546875" customWidth="1"/>
    <col min="3853" max="3853" width="21.28515625" customWidth="1"/>
    <col min="3854" max="3854" width="18.42578125" customWidth="1"/>
    <col min="3855" max="3855" width="17" customWidth="1"/>
    <col min="3856" max="3856" width="21.140625" customWidth="1"/>
    <col min="3857" max="3857" width="21" customWidth="1"/>
    <col min="3858" max="3858" width="17.85546875" customWidth="1"/>
    <col min="4097" max="4097" width="16.85546875" customWidth="1"/>
    <col min="4098" max="4098" width="25.42578125" customWidth="1"/>
    <col min="4105" max="4105" width="16.28515625" customWidth="1"/>
    <col min="4106" max="4107" width="16.42578125" customWidth="1"/>
    <col min="4108" max="4108" width="19.85546875" customWidth="1"/>
    <col min="4109" max="4109" width="21.28515625" customWidth="1"/>
    <col min="4110" max="4110" width="18.42578125" customWidth="1"/>
    <col min="4111" max="4111" width="17" customWidth="1"/>
    <col min="4112" max="4112" width="21.140625" customWidth="1"/>
    <col min="4113" max="4113" width="21" customWidth="1"/>
    <col min="4114" max="4114" width="17.85546875" customWidth="1"/>
    <col min="4353" max="4353" width="16.85546875" customWidth="1"/>
    <col min="4354" max="4354" width="25.42578125" customWidth="1"/>
    <col min="4361" max="4361" width="16.28515625" customWidth="1"/>
    <col min="4362" max="4363" width="16.42578125" customWidth="1"/>
    <col min="4364" max="4364" width="19.85546875" customWidth="1"/>
    <col min="4365" max="4365" width="21.28515625" customWidth="1"/>
    <col min="4366" max="4366" width="18.42578125" customWidth="1"/>
    <col min="4367" max="4367" width="17" customWidth="1"/>
    <col min="4368" max="4368" width="21.140625" customWidth="1"/>
    <col min="4369" max="4369" width="21" customWidth="1"/>
    <col min="4370" max="4370" width="17.85546875" customWidth="1"/>
    <col min="4609" max="4609" width="16.85546875" customWidth="1"/>
    <col min="4610" max="4610" width="25.42578125" customWidth="1"/>
    <col min="4617" max="4617" width="16.28515625" customWidth="1"/>
    <col min="4618" max="4619" width="16.42578125" customWidth="1"/>
    <col min="4620" max="4620" width="19.85546875" customWidth="1"/>
    <col min="4621" max="4621" width="21.28515625" customWidth="1"/>
    <col min="4622" max="4622" width="18.42578125" customWidth="1"/>
    <col min="4623" max="4623" width="17" customWidth="1"/>
    <col min="4624" max="4624" width="21.140625" customWidth="1"/>
    <col min="4625" max="4625" width="21" customWidth="1"/>
    <col min="4626" max="4626" width="17.85546875" customWidth="1"/>
    <col min="4865" max="4865" width="16.85546875" customWidth="1"/>
    <col min="4866" max="4866" width="25.42578125" customWidth="1"/>
    <col min="4873" max="4873" width="16.28515625" customWidth="1"/>
    <col min="4874" max="4875" width="16.42578125" customWidth="1"/>
    <col min="4876" max="4876" width="19.85546875" customWidth="1"/>
    <col min="4877" max="4877" width="21.28515625" customWidth="1"/>
    <col min="4878" max="4878" width="18.42578125" customWidth="1"/>
    <col min="4879" max="4879" width="17" customWidth="1"/>
    <col min="4880" max="4880" width="21.140625" customWidth="1"/>
    <col min="4881" max="4881" width="21" customWidth="1"/>
    <col min="4882" max="4882" width="17.85546875" customWidth="1"/>
    <col min="5121" max="5121" width="16.85546875" customWidth="1"/>
    <col min="5122" max="5122" width="25.42578125" customWidth="1"/>
    <col min="5129" max="5129" width="16.28515625" customWidth="1"/>
    <col min="5130" max="5131" width="16.42578125" customWidth="1"/>
    <col min="5132" max="5132" width="19.85546875" customWidth="1"/>
    <col min="5133" max="5133" width="21.28515625" customWidth="1"/>
    <col min="5134" max="5134" width="18.42578125" customWidth="1"/>
    <col min="5135" max="5135" width="17" customWidth="1"/>
    <col min="5136" max="5136" width="21.140625" customWidth="1"/>
    <col min="5137" max="5137" width="21" customWidth="1"/>
    <col min="5138" max="5138" width="17.85546875" customWidth="1"/>
    <col min="5377" max="5377" width="16.85546875" customWidth="1"/>
    <col min="5378" max="5378" width="25.42578125" customWidth="1"/>
    <col min="5385" max="5385" width="16.28515625" customWidth="1"/>
    <col min="5386" max="5387" width="16.42578125" customWidth="1"/>
    <col min="5388" max="5388" width="19.85546875" customWidth="1"/>
    <col min="5389" max="5389" width="21.28515625" customWidth="1"/>
    <col min="5390" max="5390" width="18.42578125" customWidth="1"/>
    <col min="5391" max="5391" width="17" customWidth="1"/>
    <col min="5392" max="5392" width="21.140625" customWidth="1"/>
    <col min="5393" max="5393" width="21" customWidth="1"/>
    <col min="5394" max="5394" width="17.85546875" customWidth="1"/>
    <col min="5633" max="5633" width="16.85546875" customWidth="1"/>
    <col min="5634" max="5634" width="25.42578125" customWidth="1"/>
    <col min="5641" max="5641" width="16.28515625" customWidth="1"/>
    <col min="5642" max="5643" width="16.42578125" customWidth="1"/>
    <col min="5644" max="5644" width="19.85546875" customWidth="1"/>
    <col min="5645" max="5645" width="21.28515625" customWidth="1"/>
    <col min="5646" max="5646" width="18.42578125" customWidth="1"/>
    <col min="5647" max="5647" width="17" customWidth="1"/>
    <col min="5648" max="5648" width="21.140625" customWidth="1"/>
    <col min="5649" max="5649" width="21" customWidth="1"/>
    <col min="5650" max="5650" width="17.85546875" customWidth="1"/>
    <col min="5889" max="5889" width="16.85546875" customWidth="1"/>
    <col min="5890" max="5890" width="25.42578125" customWidth="1"/>
    <col min="5897" max="5897" width="16.28515625" customWidth="1"/>
    <col min="5898" max="5899" width="16.42578125" customWidth="1"/>
    <col min="5900" max="5900" width="19.85546875" customWidth="1"/>
    <col min="5901" max="5901" width="21.28515625" customWidth="1"/>
    <col min="5902" max="5902" width="18.42578125" customWidth="1"/>
    <col min="5903" max="5903" width="17" customWidth="1"/>
    <col min="5904" max="5904" width="21.140625" customWidth="1"/>
    <col min="5905" max="5905" width="21" customWidth="1"/>
    <col min="5906" max="5906" width="17.85546875" customWidth="1"/>
    <col min="6145" max="6145" width="16.85546875" customWidth="1"/>
    <col min="6146" max="6146" width="25.42578125" customWidth="1"/>
    <col min="6153" max="6153" width="16.28515625" customWidth="1"/>
    <col min="6154" max="6155" width="16.42578125" customWidth="1"/>
    <col min="6156" max="6156" width="19.85546875" customWidth="1"/>
    <col min="6157" max="6157" width="21.28515625" customWidth="1"/>
    <col min="6158" max="6158" width="18.42578125" customWidth="1"/>
    <col min="6159" max="6159" width="17" customWidth="1"/>
    <col min="6160" max="6160" width="21.140625" customWidth="1"/>
    <col min="6161" max="6161" width="21" customWidth="1"/>
    <col min="6162" max="6162" width="17.85546875" customWidth="1"/>
    <col min="6401" max="6401" width="16.85546875" customWidth="1"/>
    <col min="6402" max="6402" width="25.42578125" customWidth="1"/>
    <col min="6409" max="6409" width="16.28515625" customWidth="1"/>
    <col min="6410" max="6411" width="16.42578125" customWidth="1"/>
    <col min="6412" max="6412" width="19.85546875" customWidth="1"/>
    <col min="6413" max="6413" width="21.28515625" customWidth="1"/>
    <col min="6414" max="6414" width="18.42578125" customWidth="1"/>
    <col min="6415" max="6415" width="17" customWidth="1"/>
    <col min="6416" max="6416" width="21.140625" customWidth="1"/>
    <col min="6417" max="6417" width="21" customWidth="1"/>
    <col min="6418" max="6418" width="17.85546875" customWidth="1"/>
    <col min="6657" max="6657" width="16.85546875" customWidth="1"/>
    <col min="6658" max="6658" width="25.42578125" customWidth="1"/>
    <col min="6665" max="6665" width="16.28515625" customWidth="1"/>
    <col min="6666" max="6667" width="16.42578125" customWidth="1"/>
    <col min="6668" max="6668" width="19.85546875" customWidth="1"/>
    <col min="6669" max="6669" width="21.28515625" customWidth="1"/>
    <col min="6670" max="6670" width="18.42578125" customWidth="1"/>
    <col min="6671" max="6671" width="17" customWidth="1"/>
    <col min="6672" max="6672" width="21.140625" customWidth="1"/>
    <col min="6673" max="6673" width="21" customWidth="1"/>
    <col min="6674" max="6674" width="17.85546875" customWidth="1"/>
    <col min="6913" max="6913" width="16.85546875" customWidth="1"/>
    <col min="6914" max="6914" width="25.42578125" customWidth="1"/>
    <col min="6921" max="6921" width="16.28515625" customWidth="1"/>
    <col min="6922" max="6923" width="16.42578125" customWidth="1"/>
    <col min="6924" max="6924" width="19.85546875" customWidth="1"/>
    <col min="6925" max="6925" width="21.28515625" customWidth="1"/>
    <col min="6926" max="6926" width="18.42578125" customWidth="1"/>
    <col min="6927" max="6927" width="17" customWidth="1"/>
    <col min="6928" max="6928" width="21.140625" customWidth="1"/>
    <col min="6929" max="6929" width="21" customWidth="1"/>
    <col min="6930" max="6930" width="17.85546875" customWidth="1"/>
    <col min="7169" max="7169" width="16.85546875" customWidth="1"/>
    <col min="7170" max="7170" width="25.42578125" customWidth="1"/>
    <col min="7177" max="7177" width="16.28515625" customWidth="1"/>
    <col min="7178" max="7179" width="16.42578125" customWidth="1"/>
    <col min="7180" max="7180" width="19.85546875" customWidth="1"/>
    <col min="7181" max="7181" width="21.28515625" customWidth="1"/>
    <col min="7182" max="7182" width="18.42578125" customWidth="1"/>
    <col min="7183" max="7183" width="17" customWidth="1"/>
    <col min="7184" max="7184" width="21.140625" customWidth="1"/>
    <col min="7185" max="7185" width="21" customWidth="1"/>
    <col min="7186" max="7186" width="17.85546875" customWidth="1"/>
    <col min="7425" max="7425" width="16.85546875" customWidth="1"/>
    <col min="7426" max="7426" width="25.42578125" customWidth="1"/>
    <col min="7433" max="7433" width="16.28515625" customWidth="1"/>
    <col min="7434" max="7435" width="16.42578125" customWidth="1"/>
    <col min="7436" max="7436" width="19.85546875" customWidth="1"/>
    <col min="7437" max="7437" width="21.28515625" customWidth="1"/>
    <col min="7438" max="7438" width="18.42578125" customWidth="1"/>
    <col min="7439" max="7439" width="17" customWidth="1"/>
    <col min="7440" max="7440" width="21.140625" customWidth="1"/>
    <col min="7441" max="7441" width="21" customWidth="1"/>
    <col min="7442" max="7442" width="17.85546875" customWidth="1"/>
    <col min="7681" max="7681" width="16.85546875" customWidth="1"/>
    <col min="7682" max="7682" width="25.42578125" customWidth="1"/>
    <col min="7689" max="7689" width="16.28515625" customWidth="1"/>
    <col min="7690" max="7691" width="16.42578125" customWidth="1"/>
    <col min="7692" max="7692" width="19.85546875" customWidth="1"/>
    <col min="7693" max="7693" width="21.28515625" customWidth="1"/>
    <col min="7694" max="7694" width="18.42578125" customWidth="1"/>
    <col min="7695" max="7695" width="17" customWidth="1"/>
    <col min="7696" max="7696" width="21.140625" customWidth="1"/>
    <col min="7697" max="7697" width="21" customWidth="1"/>
    <col min="7698" max="7698" width="17.85546875" customWidth="1"/>
    <col min="7937" max="7937" width="16.85546875" customWidth="1"/>
    <col min="7938" max="7938" width="25.42578125" customWidth="1"/>
    <col min="7945" max="7945" width="16.28515625" customWidth="1"/>
    <col min="7946" max="7947" width="16.42578125" customWidth="1"/>
    <col min="7948" max="7948" width="19.85546875" customWidth="1"/>
    <col min="7949" max="7949" width="21.28515625" customWidth="1"/>
    <col min="7950" max="7950" width="18.42578125" customWidth="1"/>
    <col min="7951" max="7951" width="17" customWidth="1"/>
    <col min="7952" max="7952" width="21.140625" customWidth="1"/>
    <col min="7953" max="7953" width="21" customWidth="1"/>
    <col min="7954" max="7954" width="17.85546875" customWidth="1"/>
    <col min="8193" max="8193" width="16.85546875" customWidth="1"/>
    <col min="8194" max="8194" width="25.42578125" customWidth="1"/>
    <col min="8201" max="8201" width="16.28515625" customWidth="1"/>
    <col min="8202" max="8203" width="16.42578125" customWidth="1"/>
    <col min="8204" max="8204" width="19.85546875" customWidth="1"/>
    <col min="8205" max="8205" width="21.28515625" customWidth="1"/>
    <col min="8206" max="8206" width="18.42578125" customWidth="1"/>
    <col min="8207" max="8207" width="17" customWidth="1"/>
    <col min="8208" max="8208" width="21.140625" customWidth="1"/>
    <col min="8209" max="8209" width="21" customWidth="1"/>
    <col min="8210" max="8210" width="17.85546875" customWidth="1"/>
    <col min="8449" max="8449" width="16.85546875" customWidth="1"/>
    <col min="8450" max="8450" width="25.42578125" customWidth="1"/>
    <col min="8457" max="8457" width="16.28515625" customWidth="1"/>
    <col min="8458" max="8459" width="16.42578125" customWidth="1"/>
    <col min="8460" max="8460" width="19.85546875" customWidth="1"/>
    <col min="8461" max="8461" width="21.28515625" customWidth="1"/>
    <col min="8462" max="8462" width="18.42578125" customWidth="1"/>
    <col min="8463" max="8463" width="17" customWidth="1"/>
    <col min="8464" max="8464" width="21.140625" customWidth="1"/>
    <col min="8465" max="8465" width="21" customWidth="1"/>
    <col min="8466" max="8466" width="17.85546875" customWidth="1"/>
    <col min="8705" max="8705" width="16.85546875" customWidth="1"/>
    <col min="8706" max="8706" width="25.42578125" customWidth="1"/>
    <col min="8713" max="8713" width="16.28515625" customWidth="1"/>
    <col min="8714" max="8715" width="16.42578125" customWidth="1"/>
    <col min="8716" max="8716" width="19.85546875" customWidth="1"/>
    <col min="8717" max="8717" width="21.28515625" customWidth="1"/>
    <col min="8718" max="8718" width="18.42578125" customWidth="1"/>
    <col min="8719" max="8719" width="17" customWidth="1"/>
    <col min="8720" max="8720" width="21.140625" customWidth="1"/>
    <col min="8721" max="8721" width="21" customWidth="1"/>
    <col min="8722" max="8722" width="17.85546875" customWidth="1"/>
    <col min="8961" max="8961" width="16.85546875" customWidth="1"/>
    <col min="8962" max="8962" width="25.42578125" customWidth="1"/>
    <col min="8969" max="8969" width="16.28515625" customWidth="1"/>
    <col min="8970" max="8971" width="16.42578125" customWidth="1"/>
    <col min="8972" max="8972" width="19.85546875" customWidth="1"/>
    <col min="8973" max="8973" width="21.28515625" customWidth="1"/>
    <col min="8974" max="8974" width="18.42578125" customWidth="1"/>
    <col min="8975" max="8975" width="17" customWidth="1"/>
    <col min="8976" max="8976" width="21.140625" customWidth="1"/>
    <col min="8977" max="8977" width="21" customWidth="1"/>
    <col min="8978" max="8978" width="17.85546875" customWidth="1"/>
    <col min="9217" max="9217" width="16.85546875" customWidth="1"/>
    <col min="9218" max="9218" width="25.42578125" customWidth="1"/>
    <col min="9225" max="9225" width="16.28515625" customWidth="1"/>
    <col min="9226" max="9227" width="16.42578125" customWidth="1"/>
    <col min="9228" max="9228" width="19.85546875" customWidth="1"/>
    <col min="9229" max="9229" width="21.28515625" customWidth="1"/>
    <col min="9230" max="9230" width="18.42578125" customWidth="1"/>
    <col min="9231" max="9231" width="17" customWidth="1"/>
    <col min="9232" max="9232" width="21.140625" customWidth="1"/>
    <col min="9233" max="9233" width="21" customWidth="1"/>
    <col min="9234" max="9234" width="17.85546875" customWidth="1"/>
    <col min="9473" max="9473" width="16.85546875" customWidth="1"/>
    <col min="9474" max="9474" width="25.42578125" customWidth="1"/>
    <col min="9481" max="9481" width="16.28515625" customWidth="1"/>
    <col min="9482" max="9483" width="16.42578125" customWidth="1"/>
    <col min="9484" max="9484" width="19.85546875" customWidth="1"/>
    <col min="9485" max="9485" width="21.28515625" customWidth="1"/>
    <col min="9486" max="9486" width="18.42578125" customWidth="1"/>
    <col min="9487" max="9487" width="17" customWidth="1"/>
    <col min="9488" max="9488" width="21.140625" customWidth="1"/>
    <col min="9489" max="9489" width="21" customWidth="1"/>
    <col min="9490" max="9490" width="17.85546875" customWidth="1"/>
    <col min="9729" max="9729" width="16.85546875" customWidth="1"/>
    <col min="9730" max="9730" width="25.42578125" customWidth="1"/>
    <col min="9737" max="9737" width="16.28515625" customWidth="1"/>
    <col min="9738" max="9739" width="16.42578125" customWidth="1"/>
    <col min="9740" max="9740" width="19.85546875" customWidth="1"/>
    <col min="9741" max="9741" width="21.28515625" customWidth="1"/>
    <col min="9742" max="9742" width="18.42578125" customWidth="1"/>
    <col min="9743" max="9743" width="17" customWidth="1"/>
    <col min="9744" max="9744" width="21.140625" customWidth="1"/>
    <col min="9745" max="9745" width="21" customWidth="1"/>
    <col min="9746" max="9746" width="17.85546875" customWidth="1"/>
    <col min="9985" max="9985" width="16.85546875" customWidth="1"/>
    <col min="9986" max="9986" width="25.42578125" customWidth="1"/>
    <col min="9993" max="9993" width="16.28515625" customWidth="1"/>
    <col min="9994" max="9995" width="16.42578125" customWidth="1"/>
    <col min="9996" max="9996" width="19.85546875" customWidth="1"/>
    <col min="9997" max="9997" width="21.28515625" customWidth="1"/>
    <col min="9998" max="9998" width="18.42578125" customWidth="1"/>
    <col min="9999" max="9999" width="17" customWidth="1"/>
    <col min="10000" max="10000" width="21.140625" customWidth="1"/>
    <col min="10001" max="10001" width="21" customWidth="1"/>
    <col min="10002" max="10002" width="17.85546875" customWidth="1"/>
    <col min="10241" max="10241" width="16.85546875" customWidth="1"/>
    <col min="10242" max="10242" width="25.42578125" customWidth="1"/>
    <col min="10249" max="10249" width="16.28515625" customWidth="1"/>
    <col min="10250" max="10251" width="16.42578125" customWidth="1"/>
    <col min="10252" max="10252" width="19.85546875" customWidth="1"/>
    <col min="10253" max="10253" width="21.28515625" customWidth="1"/>
    <col min="10254" max="10254" width="18.42578125" customWidth="1"/>
    <col min="10255" max="10255" width="17" customWidth="1"/>
    <col min="10256" max="10256" width="21.140625" customWidth="1"/>
    <col min="10257" max="10257" width="21" customWidth="1"/>
    <col min="10258" max="10258" width="17.85546875" customWidth="1"/>
    <col min="10497" max="10497" width="16.85546875" customWidth="1"/>
    <col min="10498" max="10498" width="25.42578125" customWidth="1"/>
    <col min="10505" max="10505" width="16.28515625" customWidth="1"/>
    <col min="10506" max="10507" width="16.42578125" customWidth="1"/>
    <col min="10508" max="10508" width="19.85546875" customWidth="1"/>
    <col min="10509" max="10509" width="21.28515625" customWidth="1"/>
    <col min="10510" max="10510" width="18.42578125" customWidth="1"/>
    <col min="10511" max="10511" width="17" customWidth="1"/>
    <col min="10512" max="10512" width="21.140625" customWidth="1"/>
    <col min="10513" max="10513" width="21" customWidth="1"/>
    <col min="10514" max="10514" width="17.85546875" customWidth="1"/>
    <col min="10753" max="10753" width="16.85546875" customWidth="1"/>
    <col min="10754" max="10754" width="25.42578125" customWidth="1"/>
    <col min="10761" max="10761" width="16.28515625" customWidth="1"/>
    <col min="10762" max="10763" width="16.42578125" customWidth="1"/>
    <col min="10764" max="10764" width="19.85546875" customWidth="1"/>
    <col min="10765" max="10765" width="21.28515625" customWidth="1"/>
    <col min="10766" max="10766" width="18.42578125" customWidth="1"/>
    <col min="10767" max="10767" width="17" customWidth="1"/>
    <col min="10768" max="10768" width="21.140625" customWidth="1"/>
    <col min="10769" max="10769" width="21" customWidth="1"/>
    <col min="10770" max="10770" width="17.85546875" customWidth="1"/>
    <col min="11009" max="11009" width="16.85546875" customWidth="1"/>
    <col min="11010" max="11010" width="25.42578125" customWidth="1"/>
    <col min="11017" max="11017" width="16.28515625" customWidth="1"/>
    <col min="11018" max="11019" width="16.42578125" customWidth="1"/>
    <col min="11020" max="11020" width="19.85546875" customWidth="1"/>
    <col min="11021" max="11021" width="21.28515625" customWidth="1"/>
    <col min="11022" max="11022" width="18.42578125" customWidth="1"/>
    <col min="11023" max="11023" width="17" customWidth="1"/>
    <col min="11024" max="11024" width="21.140625" customWidth="1"/>
    <col min="11025" max="11025" width="21" customWidth="1"/>
    <col min="11026" max="11026" width="17.85546875" customWidth="1"/>
    <col min="11265" max="11265" width="16.85546875" customWidth="1"/>
    <col min="11266" max="11266" width="25.42578125" customWidth="1"/>
    <col min="11273" max="11273" width="16.28515625" customWidth="1"/>
    <col min="11274" max="11275" width="16.42578125" customWidth="1"/>
    <col min="11276" max="11276" width="19.85546875" customWidth="1"/>
    <col min="11277" max="11277" width="21.28515625" customWidth="1"/>
    <col min="11278" max="11278" width="18.42578125" customWidth="1"/>
    <col min="11279" max="11279" width="17" customWidth="1"/>
    <col min="11280" max="11280" width="21.140625" customWidth="1"/>
    <col min="11281" max="11281" width="21" customWidth="1"/>
    <col min="11282" max="11282" width="17.85546875" customWidth="1"/>
    <col min="11521" max="11521" width="16.85546875" customWidth="1"/>
    <col min="11522" max="11522" width="25.42578125" customWidth="1"/>
    <col min="11529" max="11529" width="16.28515625" customWidth="1"/>
    <col min="11530" max="11531" width="16.42578125" customWidth="1"/>
    <col min="11532" max="11532" width="19.85546875" customWidth="1"/>
    <col min="11533" max="11533" width="21.28515625" customWidth="1"/>
    <col min="11534" max="11534" width="18.42578125" customWidth="1"/>
    <col min="11535" max="11535" width="17" customWidth="1"/>
    <col min="11536" max="11536" width="21.140625" customWidth="1"/>
    <col min="11537" max="11537" width="21" customWidth="1"/>
    <col min="11538" max="11538" width="17.85546875" customWidth="1"/>
    <col min="11777" max="11777" width="16.85546875" customWidth="1"/>
    <col min="11778" max="11778" width="25.42578125" customWidth="1"/>
    <col min="11785" max="11785" width="16.28515625" customWidth="1"/>
    <col min="11786" max="11787" width="16.42578125" customWidth="1"/>
    <col min="11788" max="11788" width="19.85546875" customWidth="1"/>
    <col min="11789" max="11789" width="21.28515625" customWidth="1"/>
    <col min="11790" max="11790" width="18.42578125" customWidth="1"/>
    <col min="11791" max="11791" width="17" customWidth="1"/>
    <col min="11792" max="11792" width="21.140625" customWidth="1"/>
    <col min="11793" max="11793" width="21" customWidth="1"/>
    <col min="11794" max="11794" width="17.85546875" customWidth="1"/>
    <col min="12033" max="12033" width="16.85546875" customWidth="1"/>
    <col min="12034" max="12034" width="25.42578125" customWidth="1"/>
    <col min="12041" max="12041" width="16.28515625" customWidth="1"/>
    <col min="12042" max="12043" width="16.42578125" customWidth="1"/>
    <col min="12044" max="12044" width="19.85546875" customWidth="1"/>
    <col min="12045" max="12045" width="21.28515625" customWidth="1"/>
    <col min="12046" max="12046" width="18.42578125" customWidth="1"/>
    <col min="12047" max="12047" width="17" customWidth="1"/>
    <col min="12048" max="12048" width="21.140625" customWidth="1"/>
    <col min="12049" max="12049" width="21" customWidth="1"/>
    <col min="12050" max="12050" width="17.85546875" customWidth="1"/>
    <col min="12289" max="12289" width="16.85546875" customWidth="1"/>
    <col min="12290" max="12290" width="25.42578125" customWidth="1"/>
    <col min="12297" max="12297" width="16.28515625" customWidth="1"/>
    <col min="12298" max="12299" width="16.42578125" customWidth="1"/>
    <col min="12300" max="12300" width="19.85546875" customWidth="1"/>
    <col min="12301" max="12301" width="21.28515625" customWidth="1"/>
    <col min="12302" max="12302" width="18.42578125" customWidth="1"/>
    <col min="12303" max="12303" width="17" customWidth="1"/>
    <col min="12304" max="12304" width="21.140625" customWidth="1"/>
    <col min="12305" max="12305" width="21" customWidth="1"/>
    <col min="12306" max="12306" width="17.85546875" customWidth="1"/>
    <col min="12545" max="12545" width="16.85546875" customWidth="1"/>
    <col min="12546" max="12546" width="25.42578125" customWidth="1"/>
    <col min="12553" max="12553" width="16.28515625" customWidth="1"/>
    <col min="12554" max="12555" width="16.42578125" customWidth="1"/>
    <col min="12556" max="12556" width="19.85546875" customWidth="1"/>
    <col min="12557" max="12557" width="21.28515625" customWidth="1"/>
    <col min="12558" max="12558" width="18.42578125" customWidth="1"/>
    <col min="12559" max="12559" width="17" customWidth="1"/>
    <col min="12560" max="12560" width="21.140625" customWidth="1"/>
    <col min="12561" max="12561" width="21" customWidth="1"/>
    <col min="12562" max="12562" width="17.85546875" customWidth="1"/>
    <col min="12801" max="12801" width="16.85546875" customWidth="1"/>
    <col min="12802" max="12802" width="25.42578125" customWidth="1"/>
    <col min="12809" max="12809" width="16.28515625" customWidth="1"/>
    <col min="12810" max="12811" width="16.42578125" customWidth="1"/>
    <col min="12812" max="12812" width="19.85546875" customWidth="1"/>
    <col min="12813" max="12813" width="21.28515625" customWidth="1"/>
    <col min="12814" max="12814" width="18.42578125" customWidth="1"/>
    <col min="12815" max="12815" width="17" customWidth="1"/>
    <col min="12816" max="12816" width="21.140625" customWidth="1"/>
    <col min="12817" max="12817" width="21" customWidth="1"/>
    <col min="12818" max="12818" width="17.85546875" customWidth="1"/>
    <col min="13057" max="13057" width="16.85546875" customWidth="1"/>
    <col min="13058" max="13058" width="25.42578125" customWidth="1"/>
    <col min="13065" max="13065" width="16.28515625" customWidth="1"/>
    <col min="13066" max="13067" width="16.42578125" customWidth="1"/>
    <col min="13068" max="13068" width="19.85546875" customWidth="1"/>
    <col min="13069" max="13069" width="21.28515625" customWidth="1"/>
    <col min="13070" max="13070" width="18.42578125" customWidth="1"/>
    <col min="13071" max="13071" width="17" customWidth="1"/>
    <col min="13072" max="13072" width="21.140625" customWidth="1"/>
    <col min="13073" max="13073" width="21" customWidth="1"/>
    <col min="13074" max="13074" width="17.85546875" customWidth="1"/>
    <col min="13313" max="13313" width="16.85546875" customWidth="1"/>
    <col min="13314" max="13314" width="25.42578125" customWidth="1"/>
    <col min="13321" max="13321" width="16.28515625" customWidth="1"/>
    <col min="13322" max="13323" width="16.42578125" customWidth="1"/>
    <col min="13324" max="13324" width="19.85546875" customWidth="1"/>
    <col min="13325" max="13325" width="21.28515625" customWidth="1"/>
    <col min="13326" max="13326" width="18.42578125" customWidth="1"/>
    <col min="13327" max="13327" width="17" customWidth="1"/>
    <col min="13328" max="13328" width="21.140625" customWidth="1"/>
    <col min="13329" max="13329" width="21" customWidth="1"/>
    <col min="13330" max="13330" width="17.85546875" customWidth="1"/>
    <col min="13569" max="13569" width="16.85546875" customWidth="1"/>
    <col min="13570" max="13570" width="25.42578125" customWidth="1"/>
    <col min="13577" max="13577" width="16.28515625" customWidth="1"/>
    <col min="13578" max="13579" width="16.42578125" customWidth="1"/>
    <col min="13580" max="13580" width="19.85546875" customWidth="1"/>
    <col min="13581" max="13581" width="21.28515625" customWidth="1"/>
    <col min="13582" max="13582" width="18.42578125" customWidth="1"/>
    <col min="13583" max="13583" width="17" customWidth="1"/>
    <col min="13584" max="13584" width="21.140625" customWidth="1"/>
    <col min="13585" max="13585" width="21" customWidth="1"/>
    <col min="13586" max="13586" width="17.85546875" customWidth="1"/>
    <col min="13825" max="13825" width="16.85546875" customWidth="1"/>
    <col min="13826" max="13826" width="25.42578125" customWidth="1"/>
    <col min="13833" max="13833" width="16.28515625" customWidth="1"/>
    <col min="13834" max="13835" width="16.42578125" customWidth="1"/>
    <col min="13836" max="13836" width="19.85546875" customWidth="1"/>
    <col min="13837" max="13837" width="21.28515625" customWidth="1"/>
    <col min="13838" max="13838" width="18.42578125" customWidth="1"/>
    <col min="13839" max="13839" width="17" customWidth="1"/>
    <col min="13840" max="13840" width="21.140625" customWidth="1"/>
    <col min="13841" max="13841" width="21" customWidth="1"/>
    <col min="13842" max="13842" width="17.85546875" customWidth="1"/>
    <col min="14081" max="14081" width="16.85546875" customWidth="1"/>
    <col min="14082" max="14082" width="25.42578125" customWidth="1"/>
    <col min="14089" max="14089" width="16.28515625" customWidth="1"/>
    <col min="14090" max="14091" width="16.42578125" customWidth="1"/>
    <col min="14092" max="14092" width="19.85546875" customWidth="1"/>
    <col min="14093" max="14093" width="21.28515625" customWidth="1"/>
    <col min="14094" max="14094" width="18.42578125" customWidth="1"/>
    <col min="14095" max="14095" width="17" customWidth="1"/>
    <col min="14096" max="14096" width="21.140625" customWidth="1"/>
    <col min="14097" max="14097" width="21" customWidth="1"/>
    <col min="14098" max="14098" width="17.85546875" customWidth="1"/>
    <col min="14337" max="14337" width="16.85546875" customWidth="1"/>
    <col min="14338" max="14338" width="25.42578125" customWidth="1"/>
    <col min="14345" max="14345" width="16.28515625" customWidth="1"/>
    <col min="14346" max="14347" width="16.42578125" customWidth="1"/>
    <col min="14348" max="14348" width="19.85546875" customWidth="1"/>
    <col min="14349" max="14349" width="21.28515625" customWidth="1"/>
    <col min="14350" max="14350" width="18.42578125" customWidth="1"/>
    <col min="14351" max="14351" width="17" customWidth="1"/>
    <col min="14352" max="14352" width="21.140625" customWidth="1"/>
    <col min="14353" max="14353" width="21" customWidth="1"/>
    <col min="14354" max="14354" width="17.85546875" customWidth="1"/>
    <col min="14593" max="14593" width="16.85546875" customWidth="1"/>
    <col min="14594" max="14594" width="25.42578125" customWidth="1"/>
    <col min="14601" max="14601" width="16.28515625" customWidth="1"/>
    <col min="14602" max="14603" width="16.42578125" customWidth="1"/>
    <col min="14604" max="14604" width="19.85546875" customWidth="1"/>
    <col min="14605" max="14605" width="21.28515625" customWidth="1"/>
    <col min="14606" max="14606" width="18.42578125" customWidth="1"/>
    <col min="14607" max="14607" width="17" customWidth="1"/>
    <col min="14608" max="14608" width="21.140625" customWidth="1"/>
    <col min="14609" max="14609" width="21" customWidth="1"/>
    <col min="14610" max="14610" width="17.85546875" customWidth="1"/>
    <col min="14849" max="14849" width="16.85546875" customWidth="1"/>
    <col min="14850" max="14850" width="25.42578125" customWidth="1"/>
    <col min="14857" max="14857" width="16.28515625" customWidth="1"/>
    <col min="14858" max="14859" width="16.42578125" customWidth="1"/>
    <col min="14860" max="14860" width="19.85546875" customWidth="1"/>
    <col min="14861" max="14861" width="21.28515625" customWidth="1"/>
    <col min="14862" max="14862" width="18.42578125" customWidth="1"/>
    <col min="14863" max="14863" width="17" customWidth="1"/>
    <col min="14864" max="14864" width="21.140625" customWidth="1"/>
    <col min="14865" max="14865" width="21" customWidth="1"/>
    <col min="14866" max="14866" width="17.85546875" customWidth="1"/>
    <col min="15105" max="15105" width="16.85546875" customWidth="1"/>
    <col min="15106" max="15106" width="25.42578125" customWidth="1"/>
    <col min="15113" max="15113" width="16.28515625" customWidth="1"/>
    <col min="15114" max="15115" width="16.42578125" customWidth="1"/>
    <col min="15116" max="15116" width="19.85546875" customWidth="1"/>
    <col min="15117" max="15117" width="21.28515625" customWidth="1"/>
    <col min="15118" max="15118" width="18.42578125" customWidth="1"/>
    <col min="15119" max="15119" width="17" customWidth="1"/>
    <col min="15120" max="15120" width="21.140625" customWidth="1"/>
    <col min="15121" max="15121" width="21" customWidth="1"/>
    <col min="15122" max="15122" width="17.85546875" customWidth="1"/>
    <col min="15361" max="15361" width="16.85546875" customWidth="1"/>
    <col min="15362" max="15362" width="25.42578125" customWidth="1"/>
    <col min="15369" max="15369" width="16.28515625" customWidth="1"/>
    <col min="15370" max="15371" width="16.42578125" customWidth="1"/>
    <col min="15372" max="15372" width="19.85546875" customWidth="1"/>
    <col min="15373" max="15373" width="21.28515625" customWidth="1"/>
    <col min="15374" max="15374" width="18.42578125" customWidth="1"/>
    <col min="15375" max="15375" width="17" customWidth="1"/>
    <col min="15376" max="15376" width="21.140625" customWidth="1"/>
    <col min="15377" max="15377" width="21" customWidth="1"/>
    <col min="15378" max="15378" width="17.85546875" customWidth="1"/>
    <col min="15617" max="15617" width="16.85546875" customWidth="1"/>
    <col min="15618" max="15618" width="25.42578125" customWidth="1"/>
    <col min="15625" max="15625" width="16.28515625" customWidth="1"/>
    <col min="15626" max="15627" width="16.42578125" customWidth="1"/>
    <col min="15628" max="15628" width="19.85546875" customWidth="1"/>
    <col min="15629" max="15629" width="21.28515625" customWidth="1"/>
    <col min="15630" max="15630" width="18.42578125" customWidth="1"/>
    <col min="15631" max="15631" width="17" customWidth="1"/>
    <col min="15632" max="15632" width="21.140625" customWidth="1"/>
    <col min="15633" max="15633" width="21" customWidth="1"/>
    <col min="15634" max="15634" width="17.85546875" customWidth="1"/>
    <col min="15873" max="15873" width="16.85546875" customWidth="1"/>
    <col min="15874" max="15874" width="25.42578125" customWidth="1"/>
    <col min="15881" max="15881" width="16.28515625" customWidth="1"/>
    <col min="15882" max="15883" width="16.42578125" customWidth="1"/>
    <col min="15884" max="15884" width="19.85546875" customWidth="1"/>
    <col min="15885" max="15885" width="21.28515625" customWidth="1"/>
    <col min="15886" max="15886" width="18.42578125" customWidth="1"/>
    <col min="15887" max="15887" width="17" customWidth="1"/>
    <col min="15888" max="15888" width="21.140625" customWidth="1"/>
    <col min="15889" max="15889" width="21" customWidth="1"/>
    <col min="15890" max="15890" width="17.85546875" customWidth="1"/>
    <col min="16129" max="16129" width="16.85546875" customWidth="1"/>
    <col min="16130" max="16130" width="25.42578125" customWidth="1"/>
    <col min="16137" max="16137" width="16.28515625" customWidth="1"/>
    <col min="16138" max="16139" width="16.42578125" customWidth="1"/>
    <col min="16140" max="16140" width="19.85546875" customWidth="1"/>
    <col min="16141" max="16141" width="21.28515625" customWidth="1"/>
    <col min="16142" max="16142" width="18.42578125" customWidth="1"/>
    <col min="16143" max="16143" width="17" customWidth="1"/>
    <col min="16144" max="16144" width="21.140625" customWidth="1"/>
    <col min="16145" max="16145" width="21" customWidth="1"/>
    <col min="16146" max="16146" width="17.85546875" customWidth="1"/>
  </cols>
  <sheetData>
    <row r="1" spans="1:18" ht="18.75" thickBot="1" x14ac:dyDescent="0.3">
      <c r="A1" s="1" t="s">
        <v>67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</row>
    <row r="2" spans="1:18" ht="39" customHeight="1" thickBot="1" x14ac:dyDescent="0.3">
      <c r="A2" s="3" t="s">
        <v>0</v>
      </c>
      <c r="B2" s="3" t="s">
        <v>1</v>
      </c>
      <c r="C2" s="4" t="s">
        <v>2</v>
      </c>
      <c r="D2" s="5"/>
      <c r="E2" s="5"/>
      <c r="F2" s="5"/>
      <c r="G2" s="5"/>
      <c r="H2" s="6"/>
      <c r="I2" s="7" t="s">
        <v>3</v>
      </c>
      <c r="J2" s="8" t="s">
        <v>4</v>
      </c>
      <c r="K2" s="8" t="s">
        <v>5</v>
      </c>
      <c r="L2" s="7" t="s">
        <v>6</v>
      </c>
      <c r="M2" s="7" t="s">
        <v>7</v>
      </c>
      <c r="N2" s="7" t="s">
        <v>8</v>
      </c>
      <c r="O2" s="7" t="s">
        <v>9</v>
      </c>
      <c r="P2" s="9" t="s">
        <v>10</v>
      </c>
      <c r="Q2" s="7" t="s">
        <v>11</v>
      </c>
      <c r="R2" s="7" t="s">
        <v>12</v>
      </c>
    </row>
    <row r="3" spans="1:18" ht="56.25" customHeight="1" thickBot="1" x14ac:dyDescent="0.3">
      <c r="A3" s="10"/>
      <c r="B3" s="10"/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2" t="s">
        <v>18</v>
      </c>
      <c r="I3" s="13"/>
      <c r="J3" s="14"/>
      <c r="K3" s="14"/>
      <c r="L3" s="13"/>
      <c r="M3" s="13"/>
      <c r="N3" s="13"/>
      <c r="O3" s="13"/>
      <c r="P3" s="15"/>
      <c r="Q3" s="13"/>
      <c r="R3" s="13"/>
    </row>
    <row r="4" spans="1:18" ht="33" customHeight="1" x14ac:dyDescent="0.25">
      <c r="A4" s="16" t="s">
        <v>19</v>
      </c>
      <c r="B4" s="17" t="s">
        <v>20</v>
      </c>
      <c r="C4" s="18">
        <v>3.5978600000000007</v>
      </c>
      <c r="D4" s="18">
        <v>3.2000000000000002E-3</v>
      </c>
      <c r="E4" s="19">
        <v>0</v>
      </c>
      <c r="F4" s="19">
        <v>0</v>
      </c>
      <c r="G4" s="18">
        <v>0.37580999999999998</v>
      </c>
      <c r="H4" s="20">
        <f>SUM(C4:G4)</f>
        <v>3.9768700000000008</v>
      </c>
      <c r="I4" s="21">
        <f>(298.01+53.84+17.98)/744</f>
        <v>0.49708333333333338</v>
      </c>
      <c r="J4" s="22">
        <f>128.41/744</f>
        <v>0.17259408602150536</v>
      </c>
      <c r="K4" s="23">
        <v>0</v>
      </c>
      <c r="L4" s="24">
        <f>H4+I4+J4</f>
        <v>4.6465474193548397</v>
      </c>
      <c r="M4" s="25">
        <f>2.368+2.435+2.178</f>
        <v>6.9809999999999999</v>
      </c>
      <c r="N4" s="26">
        <f>Q4-L4</f>
        <v>2.0734525806451609</v>
      </c>
      <c r="O4" s="27">
        <f>N4</f>
        <v>2.0734525806451609</v>
      </c>
      <c r="P4" s="28">
        <f>M4*365*24</f>
        <v>61153.56</v>
      </c>
      <c r="Q4" s="29">
        <f>2.24*3</f>
        <v>6.7200000000000006</v>
      </c>
      <c r="R4" s="30">
        <f>L4/M4*100</f>
        <v>66.559911464759196</v>
      </c>
    </row>
    <row r="5" spans="1:18" x14ac:dyDescent="0.25">
      <c r="A5" s="31" t="s">
        <v>21</v>
      </c>
      <c r="B5" s="32" t="s">
        <v>22</v>
      </c>
      <c r="C5" s="33">
        <v>0.34899999999999998</v>
      </c>
      <c r="D5" s="33">
        <v>0</v>
      </c>
      <c r="E5" s="34">
        <v>0</v>
      </c>
      <c r="F5" s="34">
        <v>0</v>
      </c>
      <c r="G5" s="33">
        <v>7.4999999999999997E-3</v>
      </c>
      <c r="H5" s="35">
        <f t="shared" ref="H5:H24" si="0">SUM(C5:G5)</f>
        <v>0.35649999999999998</v>
      </c>
      <c r="I5" s="21">
        <f>(41.2+1.61)/744</f>
        <v>5.7540322580645162E-2</v>
      </c>
      <c r="J5" s="36">
        <f>10.07/744</f>
        <v>1.3534946236559139E-2</v>
      </c>
      <c r="K5" s="37">
        <v>0</v>
      </c>
      <c r="L5" s="38">
        <f t="shared" ref="L5:L21" si="1">H5+I5+J5</f>
        <v>0.42757526881720431</v>
      </c>
      <c r="M5" s="39">
        <f>0.085+0.452+0.417</f>
        <v>0.95399999999999996</v>
      </c>
      <c r="N5" s="40">
        <f t="shared" ref="N5:N24" si="2">Q5-L5</f>
        <v>0.73742473118279572</v>
      </c>
      <c r="O5" s="41">
        <f t="shared" ref="O5:O21" si="3">N5</f>
        <v>0.73742473118279572</v>
      </c>
      <c r="P5" s="42">
        <f t="shared" ref="P5:P24" si="4">M5*365*24</f>
        <v>8357.0399999999991</v>
      </c>
      <c r="Q5" s="43">
        <v>1.165</v>
      </c>
      <c r="R5" s="44">
        <f t="shared" ref="R5:R25" si="5">L5/M5*100</f>
        <v>44.819210567841125</v>
      </c>
    </row>
    <row r="6" spans="1:18" x14ac:dyDescent="0.25">
      <c r="A6" s="31" t="s">
        <v>23</v>
      </c>
      <c r="B6" s="32" t="s">
        <v>24</v>
      </c>
      <c r="C6" s="33">
        <v>0.71088000000000029</v>
      </c>
      <c r="D6" s="33">
        <v>0</v>
      </c>
      <c r="E6" s="34">
        <v>0</v>
      </c>
      <c r="F6" s="34">
        <v>0</v>
      </c>
      <c r="G6" s="33">
        <v>1.259E-2</v>
      </c>
      <c r="H6" s="35">
        <f t="shared" si="0"/>
        <v>0.72347000000000028</v>
      </c>
      <c r="I6" s="21">
        <f>(100.18+3.29)/744</f>
        <v>0.13907258064516131</v>
      </c>
      <c r="J6" s="36">
        <f>11.41/744</f>
        <v>1.5336021505376345E-2</v>
      </c>
      <c r="K6" s="37">
        <v>0</v>
      </c>
      <c r="L6" s="38">
        <f t="shared" si="1"/>
        <v>0.87787860215053803</v>
      </c>
      <c r="M6" s="39">
        <f>0.4+0.29+0.288</f>
        <v>0.97799999999999998</v>
      </c>
      <c r="N6" s="40">
        <f t="shared" si="2"/>
        <v>7.0121397849461919E-2</v>
      </c>
      <c r="O6" s="41">
        <f t="shared" si="3"/>
        <v>7.0121397849461919E-2</v>
      </c>
      <c r="P6" s="42">
        <f t="shared" si="4"/>
        <v>8567.2799999999988</v>
      </c>
      <c r="Q6" s="43">
        <v>0.94799999999999995</v>
      </c>
      <c r="R6" s="44">
        <f t="shared" si="5"/>
        <v>89.762638256701237</v>
      </c>
    </row>
    <row r="7" spans="1:18" x14ac:dyDescent="0.25">
      <c r="A7" s="31" t="s">
        <v>25</v>
      </c>
      <c r="B7" s="32" t="s">
        <v>26</v>
      </c>
      <c r="C7" s="33">
        <v>0.36099999999999999</v>
      </c>
      <c r="D7" s="33">
        <v>0</v>
      </c>
      <c r="E7" s="34">
        <v>0</v>
      </c>
      <c r="F7" s="34">
        <v>0</v>
      </c>
      <c r="G7" s="33">
        <v>6.3300000000000006E-3</v>
      </c>
      <c r="H7" s="35">
        <f t="shared" si="0"/>
        <v>0.36732999999999999</v>
      </c>
      <c r="I7" s="21">
        <f>(10.32+1.46)/744</f>
        <v>1.5833333333333335E-2</v>
      </c>
      <c r="J7" s="36">
        <f>12.75/744</f>
        <v>1.7137096774193547E-2</v>
      </c>
      <c r="K7" s="37">
        <v>0</v>
      </c>
      <c r="L7" s="38">
        <f t="shared" si="1"/>
        <v>0.40030043010752686</v>
      </c>
      <c r="M7" s="39">
        <f>0.3+0.297+0.154</f>
        <v>0.751</v>
      </c>
      <c r="N7" s="40">
        <f t="shared" si="2"/>
        <v>0.26879956989247317</v>
      </c>
      <c r="O7" s="41">
        <f t="shared" si="3"/>
        <v>0.26879956989247317</v>
      </c>
      <c r="P7" s="42">
        <f t="shared" si="4"/>
        <v>6578.76</v>
      </c>
      <c r="Q7" s="43">
        <v>0.66910000000000003</v>
      </c>
      <c r="R7" s="44">
        <f t="shared" si="5"/>
        <v>53.302320919777216</v>
      </c>
    </row>
    <row r="8" spans="1:18" ht="15" customHeight="1" x14ac:dyDescent="0.25">
      <c r="A8" s="31" t="s">
        <v>27</v>
      </c>
      <c r="B8" s="45" t="s">
        <v>28</v>
      </c>
      <c r="C8" s="33">
        <v>0.38644000000000001</v>
      </c>
      <c r="D8" s="33">
        <v>0.01</v>
      </c>
      <c r="E8" s="34">
        <v>0</v>
      </c>
      <c r="F8" s="34">
        <v>0</v>
      </c>
      <c r="G8" s="33">
        <v>2.1250000000000002E-2</v>
      </c>
      <c r="H8" s="35">
        <f t="shared" si="0"/>
        <v>0.41769000000000001</v>
      </c>
      <c r="I8" s="21">
        <f>(107.68+1.81)/744</f>
        <v>0.14716397849462368</v>
      </c>
      <c r="J8" s="36">
        <f>20.96/744</f>
        <v>2.8172043010752688E-2</v>
      </c>
      <c r="K8" s="37">
        <v>0</v>
      </c>
      <c r="L8" s="38">
        <f t="shared" si="1"/>
        <v>0.59302602150537642</v>
      </c>
      <c r="M8" s="39">
        <f>0.35+0.268+0.262</f>
        <v>0.88</v>
      </c>
      <c r="N8" s="40">
        <f t="shared" si="2"/>
        <v>0.35497397849462353</v>
      </c>
      <c r="O8" s="41">
        <f t="shared" si="3"/>
        <v>0.35497397849462353</v>
      </c>
      <c r="P8" s="46">
        <f t="shared" si="4"/>
        <v>7708.7999999999993</v>
      </c>
      <c r="Q8" s="43">
        <v>0.94799999999999995</v>
      </c>
      <c r="R8" s="44">
        <f t="shared" si="5"/>
        <v>67.389320625610964</v>
      </c>
    </row>
    <row r="9" spans="1:18" x14ac:dyDescent="0.25">
      <c r="A9" s="31" t="s">
        <v>29</v>
      </c>
      <c r="B9" s="45" t="s">
        <v>30</v>
      </c>
      <c r="C9" s="33">
        <v>1.2936300000000001</v>
      </c>
      <c r="D9" s="33">
        <v>2.0499999999999997E-2</v>
      </c>
      <c r="E9" s="34">
        <v>0</v>
      </c>
      <c r="F9" s="34">
        <v>0</v>
      </c>
      <c r="G9" s="33">
        <v>0.14544000000000001</v>
      </c>
      <c r="H9" s="35">
        <f t="shared" si="0"/>
        <v>1.45957</v>
      </c>
      <c r="I9" s="21">
        <f>(31.18+6.04)/744</f>
        <v>5.0026881720430107E-2</v>
      </c>
      <c r="J9" s="36">
        <f>24.45/744</f>
        <v>3.2862903225806449E-2</v>
      </c>
      <c r="K9" s="37">
        <v>0</v>
      </c>
      <c r="L9" s="38">
        <f t="shared" si="1"/>
        <v>1.5424597849462367</v>
      </c>
      <c r="M9" s="47">
        <v>1.72</v>
      </c>
      <c r="N9" s="40">
        <f t="shared" si="2"/>
        <v>0.17754021505376327</v>
      </c>
      <c r="O9" s="41">
        <f t="shared" si="3"/>
        <v>0.17754021505376327</v>
      </c>
      <c r="P9" s="46">
        <f t="shared" si="4"/>
        <v>15067.199999999999</v>
      </c>
      <c r="Q9" s="43">
        <v>1.72</v>
      </c>
      <c r="R9" s="44">
        <f t="shared" si="5"/>
        <v>89.677894473618409</v>
      </c>
    </row>
    <row r="10" spans="1:18" x14ac:dyDescent="0.25">
      <c r="A10" s="31" t="s">
        <v>31</v>
      </c>
      <c r="B10" s="45" t="s">
        <v>32</v>
      </c>
      <c r="C10" s="33">
        <v>2.1968999999999999</v>
      </c>
      <c r="D10" s="33">
        <v>4.5999999999999999E-3</v>
      </c>
      <c r="E10" s="33">
        <v>1.2E-2</v>
      </c>
      <c r="F10" s="34">
        <v>0</v>
      </c>
      <c r="G10" s="33">
        <v>0.17810000000000001</v>
      </c>
      <c r="H10" s="35">
        <f t="shared" si="0"/>
        <v>2.3915999999999999</v>
      </c>
      <c r="I10" s="21">
        <f>(45.82+12.45)/744</f>
        <v>7.8319892473118269E-2</v>
      </c>
      <c r="J10" s="36">
        <f>49.58/744</f>
        <v>6.6639784946236555E-2</v>
      </c>
      <c r="K10" s="37">
        <v>0</v>
      </c>
      <c r="L10" s="38">
        <f t="shared" si="1"/>
        <v>2.5365596774193544</v>
      </c>
      <c r="M10" s="39">
        <f>2.697+2.697</f>
        <v>5.3940000000000001</v>
      </c>
      <c r="N10" s="48">
        <f>2.697+2.697-L10</f>
        <v>2.8574403225806457</v>
      </c>
      <c r="O10" s="41">
        <f t="shared" si="3"/>
        <v>2.8574403225806457</v>
      </c>
      <c r="P10" s="46">
        <f t="shared" si="4"/>
        <v>47251.44</v>
      </c>
      <c r="Q10" s="43">
        <v>8</v>
      </c>
      <c r="R10" s="44">
        <f t="shared" si="5"/>
        <v>47.025578001841943</v>
      </c>
    </row>
    <row r="11" spans="1:18" x14ac:dyDescent="0.25">
      <c r="A11" s="31" t="s">
        <v>33</v>
      </c>
      <c r="B11" s="45" t="s">
        <v>34</v>
      </c>
      <c r="C11" s="33">
        <v>15.880480000000002</v>
      </c>
      <c r="D11" s="33">
        <v>0</v>
      </c>
      <c r="E11" s="34">
        <v>0</v>
      </c>
      <c r="F11" s="34">
        <v>0</v>
      </c>
      <c r="G11" s="33">
        <v>0</v>
      </c>
      <c r="H11" s="35">
        <f t="shared" si="0"/>
        <v>15.880480000000002</v>
      </c>
      <c r="I11" s="21">
        <f>(1105.91+3.81+77.55)/744</f>
        <v>1.5957930107526881</v>
      </c>
      <c r="J11" s="36">
        <f>114.1/744</f>
        <v>0.15336021505376343</v>
      </c>
      <c r="K11" s="36">
        <v>8.1449999999999995E-3</v>
      </c>
      <c r="L11" s="38">
        <f>H11+I11+J11+K11</f>
        <v>17.637778225806453</v>
      </c>
      <c r="M11" s="39">
        <f>1.804+3.559+3.846+3.706+7.247</f>
        <v>20.161999999999999</v>
      </c>
      <c r="N11" s="48">
        <f>1.804+3.559+3.846+3.706+7.247-L11</f>
        <v>2.5242217741935455</v>
      </c>
      <c r="O11" s="41">
        <f>N11-0.4401</f>
        <v>2.0841217741935454</v>
      </c>
      <c r="P11" s="46">
        <f t="shared" si="4"/>
        <v>176619.12</v>
      </c>
      <c r="Q11" s="43">
        <v>21.9</v>
      </c>
      <c r="R11" s="44">
        <f t="shared" si="5"/>
        <v>87.4803006934156</v>
      </c>
    </row>
    <row r="12" spans="1:18" x14ac:dyDescent="0.25">
      <c r="A12" s="31" t="s">
        <v>35</v>
      </c>
      <c r="B12" s="45" t="s">
        <v>36</v>
      </c>
      <c r="C12" s="33">
        <v>0.63701000000000008</v>
      </c>
      <c r="D12" s="33">
        <v>0</v>
      </c>
      <c r="E12" s="34">
        <v>0</v>
      </c>
      <c r="F12" s="34">
        <v>0</v>
      </c>
      <c r="G12" s="33">
        <v>2.5590000000000002E-2</v>
      </c>
      <c r="H12" s="35">
        <f t="shared" si="0"/>
        <v>0.66260000000000008</v>
      </c>
      <c r="I12" s="21">
        <f>(46.69+2.66)/744</f>
        <v>6.6330645161290308E-2</v>
      </c>
      <c r="J12" s="36">
        <f>20.76/744</f>
        <v>2.7903225806451614E-2</v>
      </c>
      <c r="K12" s="37">
        <v>0</v>
      </c>
      <c r="L12" s="38">
        <f t="shared" si="1"/>
        <v>0.75683387096774202</v>
      </c>
      <c r="M12" s="39">
        <f>0.184+0.184+0.154+0.166</f>
        <v>0.68800000000000006</v>
      </c>
      <c r="N12" s="40">
        <f t="shared" si="2"/>
        <v>-3.3870967741989055E-5</v>
      </c>
      <c r="O12" s="49" t="s">
        <v>37</v>
      </c>
      <c r="P12" s="46">
        <f t="shared" si="4"/>
        <v>6026.880000000001</v>
      </c>
      <c r="Q12" s="43">
        <v>0.75680000000000003</v>
      </c>
      <c r="R12" s="44">
        <f t="shared" si="5"/>
        <v>110.00492310577646</v>
      </c>
    </row>
    <row r="13" spans="1:18" x14ac:dyDescent="0.25">
      <c r="A13" s="31" t="s">
        <v>38</v>
      </c>
      <c r="B13" s="45" t="s">
        <v>39</v>
      </c>
      <c r="C13" s="33">
        <v>0.21560000000000001</v>
      </c>
      <c r="D13" s="33">
        <v>5.4000000000000003E-3</v>
      </c>
      <c r="E13" s="34">
        <v>0</v>
      </c>
      <c r="F13" s="34">
        <v>0</v>
      </c>
      <c r="G13" s="33">
        <v>8.0000000000000002E-3</v>
      </c>
      <c r="H13" s="35">
        <f t="shared" si="0"/>
        <v>0.22900000000000001</v>
      </c>
      <c r="I13" s="21">
        <f>(20.22+1.01)/744</f>
        <v>2.8534946236559139E-2</v>
      </c>
      <c r="J13" s="36">
        <f>9.71/744</f>
        <v>1.3051075268817205E-2</v>
      </c>
      <c r="K13" s="37">
        <v>0</v>
      </c>
      <c r="L13" s="38">
        <f t="shared" si="1"/>
        <v>0.27058602150537636</v>
      </c>
      <c r="M13" s="50">
        <f>0.208+0.203+0.204</f>
        <v>0.61499999999999999</v>
      </c>
      <c r="N13" s="40">
        <f t="shared" si="2"/>
        <v>1.5594139784946237</v>
      </c>
      <c r="O13" s="49" t="s">
        <v>37</v>
      </c>
      <c r="P13" s="46">
        <f t="shared" si="4"/>
        <v>5387.4</v>
      </c>
      <c r="Q13" s="43">
        <f>0.61*3</f>
        <v>1.83</v>
      </c>
      <c r="R13" s="44">
        <f t="shared" si="5"/>
        <v>43.997727074044938</v>
      </c>
    </row>
    <row r="14" spans="1:18" x14ac:dyDescent="0.25">
      <c r="A14" s="31" t="s">
        <v>40</v>
      </c>
      <c r="B14" s="45" t="s">
        <v>41</v>
      </c>
      <c r="C14" s="33">
        <v>1.2821799999999999</v>
      </c>
      <c r="D14" s="33">
        <v>0</v>
      </c>
      <c r="E14" s="34">
        <v>0</v>
      </c>
      <c r="F14" s="34">
        <v>0</v>
      </c>
      <c r="G14" s="33">
        <v>1.183E-2</v>
      </c>
      <c r="H14" s="35">
        <f t="shared" si="0"/>
        <v>1.2940099999999999</v>
      </c>
      <c r="I14" s="21">
        <f>(49.98+5.91)/744</f>
        <v>7.5120967741935482E-2</v>
      </c>
      <c r="J14" s="36">
        <f>13.02/744</f>
        <v>1.7499999999999998E-2</v>
      </c>
      <c r="K14" s="37">
        <v>0</v>
      </c>
      <c r="L14" s="38">
        <f t="shared" si="1"/>
        <v>1.3866309677419355</v>
      </c>
      <c r="M14" s="50">
        <f>0.949+0.931+0.08</f>
        <v>1.96</v>
      </c>
      <c r="N14" s="40">
        <f>0.949+0.931+0.08-L14</f>
        <v>0.57336903225806446</v>
      </c>
      <c r="O14" s="49">
        <f>N14</f>
        <v>0.57336903225806446</v>
      </c>
      <c r="P14" s="46">
        <f t="shared" si="4"/>
        <v>17169.599999999999</v>
      </c>
      <c r="Q14" s="43">
        <v>2.0118999999999998</v>
      </c>
      <c r="R14" s="44">
        <f t="shared" si="5"/>
        <v>70.746477946017123</v>
      </c>
    </row>
    <row r="15" spans="1:18" x14ac:dyDescent="0.25">
      <c r="A15" s="31" t="s">
        <v>42</v>
      </c>
      <c r="B15" s="45" t="s">
        <v>43</v>
      </c>
      <c r="C15" s="33">
        <v>2.35066</v>
      </c>
      <c r="D15" s="33">
        <v>0.19900000000000001</v>
      </c>
      <c r="E15" s="34">
        <v>0</v>
      </c>
      <c r="F15" s="34">
        <v>0</v>
      </c>
      <c r="G15" s="33">
        <v>0.5200800000000001</v>
      </c>
      <c r="H15" s="35">
        <f t="shared" si="0"/>
        <v>3.0697399999999999</v>
      </c>
      <c r="I15" s="21">
        <f>(55.35+11.19)/744</f>
        <v>8.9435483870967752E-2</v>
      </c>
      <c r="J15" s="36">
        <f>31.2/744</f>
        <v>4.1935483870967738E-2</v>
      </c>
      <c r="K15" s="37">
        <v>0</v>
      </c>
      <c r="L15" s="38">
        <f t="shared" si="1"/>
        <v>3.2011109677419354</v>
      </c>
      <c r="M15" s="39">
        <f>0.56+0.544+0.573+0.58+0.589+0.688+0.569+0.54</f>
        <v>4.6429999999999998</v>
      </c>
      <c r="N15" s="40">
        <f t="shared" si="2"/>
        <v>1.4788890322580643</v>
      </c>
      <c r="O15" s="49" t="s">
        <v>37</v>
      </c>
      <c r="P15" s="46">
        <f t="shared" si="4"/>
        <v>40672.68</v>
      </c>
      <c r="Q15" s="43">
        <v>4.68</v>
      </c>
      <c r="R15" s="44">
        <f t="shared" si="5"/>
        <v>68.944884078008513</v>
      </c>
    </row>
    <row r="16" spans="1:18" x14ac:dyDescent="0.25">
      <c r="A16" s="31" t="s">
        <v>44</v>
      </c>
      <c r="B16" s="45" t="s">
        <v>45</v>
      </c>
      <c r="C16" s="33">
        <v>4.7844100000000012</v>
      </c>
      <c r="D16" s="33">
        <v>0.12998000000000001</v>
      </c>
      <c r="E16" s="34">
        <v>0</v>
      </c>
      <c r="F16" s="34">
        <v>0</v>
      </c>
      <c r="G16" s="33">
        <v>0.42693000000000003</v>
      </c>
      <c r="H16" s="35">
        <f t="shared" si="0"/>
        <v>5.3413200000000014</v>
      </c>
      <c r="I16" s="21">
        <f>(318.87+23.91)/744</f>
        <v>0.46072580645161293</v>
      </c>
      <c r="J16" s="36">
        <f>67.75/744</f>
        <v>9.106182795698925E-2</v>
      </c>
      <c r="K16" s="37">
        <v>0</v>
      </c>
      <c r="L16" s="38">
        <f t="shared" si="1"/>
        <v>5.8931076344086035</v>
      </c>
      <c r="M16" s="39">
        <f>0.827+0.649+0.806+0.807+0.603+0.806+0.818+0.716+0.826</f>
        <v>6.8579999999999997</v>
      </c>
      <c r="N16" s="40">
        <f t="shared" si="2"/>
        <v>1.8468923655913967</v>
      </c>
      <c r="O16" s="49" t="s">
        <v>37</v>
      </c>
      <c r="P16" s="46">
        <f t="shared" si="4"/>
        <v>60076.08</v>
      </c>
      <c r="Q16" s="43">
        <v>7.74</v>
      </c>
      <c r="R16" s="44">
        <f t="shared" si="5"/>
        <v>85.9304117003296</v>
      </c>
    </row>
    <row r="17" spans="1:18" x14ac:dyDescent="0.25">
      <c r="A17" s="31" t="s">
        <v>46</v>
      </c>
      <c r="B17" s="45" t="s">
        <v>47</v>
      </c>
      <c r="C17" s="33">
        <v>0</v>
      </c>
      <c r="D17" s="33">
        <v>6.3299999999999995E-2</v>
      </c>
      <c r="E17" s="34">
        <v>0</v>
      </c>
      <c r="F17" s="34">
        <v>0</v>
      </c>
      <c r="G17" s="33">
        <v>0.40930000000000011</v>
      </c>
      <c r="H17" s="35">
        <f t="shared" si="0"/>
        <v>0.47260000000000013</v>
      </c>
      <c r="I17" s="21">
        <f>(112.16+0.27)/744</f>
        <v>0.15111559139784944</v>
      </c>
      <c r="J17" s="36">
        <f>18.2/744</f>
        <v>2.4462365591397847E-2</v>
      </c>
      <c r="K17" s="37">
        <v>0</v>
      </c>
      <c r="L17" s="38">
        <f t="shared" si="1"/>
        <v>0.64817795698924741</v>
      </c>
      <c r="M17" s="39">
        <f>0.379+0.344+0.507+0.349</f>
        <v>1.579</v>
      </c>
      <c r="N17" s="40">
        <f>0.379+0.344+0.507+0.356-L17</f>
        <v>0.93782204301075245</v>
      </c>
      <c r="O17" s="41">
        <f t="shared" si="3"/>
        <v>0.93782204301075245</v>
      </c>
      <c r="P17" s="46">
        <f t="shared" si="4"/>
        <v>13832.04</v>
      </c>
      <c r="Q17" s="43">
        <v>2.13</v>
      </c>
      <c r="R17" s="44">
        <f>L17/M17*100</f>
        <v>41.049902279243028</v>
      </c>
    </row>
    <row r="18" spans="1:18" ht="33" customHeight="1" x14ac:dyDescent="0.25">
      <c r="A18" s="31" t="s">
        <v>48</v>
      </c>
      <c r="B18" s="45" t="s">
        <v>49</v>
      </c>
      <c r="C18" s="33">
        <v>36.09205</v>
      </c>
      <c r="D18" s="33">
        <v>0.58309999999999995</v>
      </c>
      <c r="E18" s="33">
        <v>0.71250000000000002</v>
      </c>
      <c r="F18" s="34">
        <v>0</v>
      </c>
      <c r="G18" s="33">
        <v>2.6253000000000006</v>
      </c>
      <c r="H18" s="35">
        <f t="shared" si="0"/>
        <v>40.012950000000004</v>
      </c>
      <c r="I18" s="21">
        <f>(1640.37+1449.81+181.96)/744</f>
        <v>4.3980376344086016</v>
      </c>
      <c r="J18" s="36">
        <f>674.28/744</f>
        <v>0.90629032258064512</v>
      </c>
      <c r="K18" s="37">
        <v>0</v>
      </c>
      <c r="L18" s="38">
        <f t="shared" si="1"/>
        <v>45.317277956989251</v>
      </c>
      <c r="M18" s="39">
        <f>6.516+5.141+13.301+13.815+13.739</f>
        <v>52.512</v>
      </c>
      <c r="N18" s="40">
        <f>52.512-L18</f>
        <v>7.1947220430107492</v>
      </c>
      <c r="O18" s="51">
        <f>N18</f>
        <v>7.1947220430107492</v>
      </c>
      <c r="P18" s="46">
        <f t="shared" si="4"/>
        <v>460005.12</v>
      </c>
      <c r="Q18" s="52">
        <v>78.400000000000006</v>
      </c>
      <c r="R18" s="44">
        <f t="shared" si="5"/>
        <v>86.298899217301283</v>
      </c>
    </row>
    <row r="19" spans="1:18" ht="15" customHeight="1" x14ac:dyDescent="0.25">
      <c r="A19" s="31" t="s">
        <v>50</v>
      </c>
      <c r="B19" s="53" t="s">
        <v>51</v>
      </c>
      <c r="C19" s="33">
        <v>0.24740000000000001</v>
      </c>
      <c r="D19" s="33">
        <v>0</v>
      </c>
      <c r="E19" s="34">
        <v>0</v>
      </c>
      <c r="F19" s="34">
        <v>0</v>
      </c>
      <c r="G19" s="33">
        <v>0</v>
      </c>
      <c r="H19" s="35">
        <f t="shared" si="0"/>
        <v>0.24740000000000001</v>
      </c>
      <c r="I19" s="21">
        <f>(22.01+1.14)/744</f>
        <v>3.1115591397849467E-2</v>
      </c>
      <c r="J19" s="36">
        <f>2.21/744</f>
        <v>2.9704301075268815E-3</v>
      </c>
      <c r="K19" s="37">
        <v>0</v>
      </c>
      <c r="L19" s="38">
        <f t="shared" si="1"/>
        <v>0.28148602150537638</v>
      </c>
      <c r="M19" s="39">
        <f>0.192+0.193</f>
        <v>0.38500000000000001</v>
      </c>
      <c r="N19" s="40">
        <f t="shared" si="2"/>
        <v>0.10451397849462363</v>
      </c>
      <c r="O19" s="41">
        <f t="shared" si="3"/>
        <v>0.10451397849462363</v>
      </c>
      <c r="P19" s="46">
        <f t="shared" si="4"/>
        <v>3372.6000000000004</v>
      </c>
      <c r="Q19" s="43">
        <v>0.38600000000000001</v>
      </c>
      <c r="R19" s="44">
        <f t="shared" si="5"/>
        <v>73.113252339058803</v>
      </c>
    </row>
    <row r="20" spans="1:18" ht="12.75" customHeight="1" x14ac:dyDescent="0.25">
      <c r="A20" s="31" t="s">
        <v>52</v>
      </c>
      <c r="B20" s="53" t="s">
        <v>53</v>
      </c>
      <c r="C20" s="33">
        <v>0.51493</v>
      </c>
      <c r="D20" s="33">
        <v>0</v>
      </c>
      <c r="E20" s="34">
        <v>0</v>
      </c>
      <c r="F20" s="34">
        <v>0</v>
      </c>
      <c r="G20" s="33">
        <v>6.2500000000000003E-3</v>
      </c>
      <c r="H20" s="35">
        <f t="shared" si="0"/>
        <v>0.52117999999999998</v>
      </c>
      <c r="I20" s="21">
        <f>(14.84+2.37)/744</f>
        <v>2.3131720430107527E-2</v>
      </c>
      <c r="J20" s="36">
        <f>9.81/744</f>
        <v>1.3185483870967742E-2</v>
      </c>
      <c r="K20" s="37">
        <v>0</v>
      </c>
      <c r="L20" s="38">
        <f t="shared" si="1"/>
        <v>0.5574972043010753</v>
      </c>
      <c r="M20" s="39">
        <f>0.48+0.319</f>
        <v>0.79899999999999993</v>
      </c>
      <c r="N20" s="40">
        <f>0.48+0.319-L20</f>
        <v>0.24150279569892463</v>
      </c>
      <c r="O20" s="41">
        <f t="shared" si="3"/>
        <v>0.24150279569892463</v>
      </c>
      <c r="P20" s="46">
        <f t="shared" si="4"/>
        <v>6999.24</v>
      </c>
      <c r="Q20" s="43">
        <v>0.88</v>
      </c>
      <c r="R20" s="44">
        <f t="shared" si="5"/>
        <v>69.774368498257246</v>
      </c>
    </row>
    <row r="21" spans="1:18" x14ac:dyDescent="0.25">
      <c r="A21" s="31" t="s">
        <v>54</v>
      </c>
      <c r="B21" s="53" t="s">
        <v>55</v>
      </c>
      <c r="C21" s="33">
        <v>0.183</v>
      </c>
      <c r="D21" s="33">
        <v>0</v>
      </c>
      <c r="E21" s="34">
        <v>0</v>
      </c>
      <c r="F21" s="34">
        <v>0</v>
      </c>
      <c r="G21" s="33">
        <v>0</v>
      </c>
      <c r="H21" s="35">
        <f t="shared" si="0"/>
        <v>0.183</v>
      </c>
      <c r="I21" s="21">
        <f>(1.4+0.84)/744</f>
        <v>3.0107526881720426E-3</v>
      </c>
      <c r="J21" s="36">
        <f>1.94/744</f>
        <v>2.6075268817204299E-3</v>
      </c>
      <c r="K21" s="37">
        <v>0</v>
      </c>
      <c r="L21" s="38">
        <f t="shared" si="1"/>
        <v>0.18861827956989247</v>
      </c>
      <c r="M21" s="39">
        <f>0.061+0.062+0.062+0.063</f>
        <v>0.248</v>
      </c>
      <c r="N21" s="40">
        <f>0.061+0.062+0.062+0.063-L21</f>
        <v>5.9381720430107532E-2</v>
      </c>
      <c r="O21" s="41">
        <f t="shared" si="3"/>
        <v>5.9381720430107532E-2</v>
      </c>
      <c r="P21" s="46">
        <f t="shared" si="4"/>
        <v>2172.48</v>
      </c>
      <c r="Q21" s="43">
        <v>0.34399999999999997</v>
      </c>
      <c r="R21" s="44">
        <f t="shared" si="5"/>
        <v>76.055757891085676</v>
      </c>
    </row>
    <row r="22" spans="1:18" x14ac:dyDescent="0.25">
      <c r="A22" s="31" t="s">
        <v>56</v>
      </c>
      <c r="B22" s="53" t="s">
        <v>57</v>
      </c>
      <c r="C22" s="33">
        <v>1.13405</v>
      </c>
      <c r="D22" s="33">
        <v>0</v>
      </c>
      <c r="E22" s="34">
        <v>0</v>
      </c>
      <c r="F22" s="34">
        <v>0</v>
      </c>
      <c r="G22" s="33">
        <v>0</v>
      </c>
      <c r="H22" s="35">
        <f t="shared" si="0"/>
        <v>1.13405</v>
      </c>
      <c r="I22" s="21">
        <f>(30.28+146.51+6.35)/744</f>
        <v>0.24615591397849459</v>
      </c>
      <c r="J22" s="36">
        <f>14.2/744</f>
        <v>1.9086021505376343E-2</v>
      </c>
      <c r="K22" s="36">
        <v>0.222</v>
      </c>
      <c r="L22" s="38">
        <f>H22+I22+J22+K22</f>
        <v>1.6212919354838708</v>
      </c>
      <c r="M22" s="39">
        <f>0.818+0.822</f>
        <v>1.64</v>
      </c>
      <c r="N22" s="40">
        <f t="shared" si="2"/>
        <v>1.2708064516129047E-2</v>
      </c>
      <c r="O22" s="49">
        <f>N22</f>
        <v>1.2708064516129047E-2</v>
      </c>
      <c r="P22" s="46">
        <f t="shared" si="4"/>
        <v>14366.399999999998</v>
      </c>
      <c r="Q22" s="54">
        <v>1.6339999999999999</v>
      </c>
      <c r="R22" s="44">
        <v>100</v>
      </c>
    </row>
    <row r="23" spans="1:18" x14ac:dyDescent="0.25">
      <c r="A23" s="31" t="s">
        <v>58</v>
      </c>
      <c r="B23" s="53" t="s">
        <v>59</v>
      </c>
      <c r="C23" s="33">
        <v>0.39419999999999999</v>
      </c>
      <c r="D23" s="33">
        <v>0</v>
      </c>
      <c r="E23" s="34">
        <v>0</v>
      </c>
      <c r="F23" s="34">
        <v>0</v>
      </c>
      <c r="G23" s="33">
        <v>0</v>
      </c>
      <c r="H23" s="35">
        <f t="shared" si="0"/>
        <v>0.39419999999999999</v>
      </c>
      <c r="I23" s="21">
        <f>(8.9+19.18+1.81)/744</f>
        <v>4.0174731182795693E-2</v>
      </c>
      <c r="J23" s="36">
        <f>8.4/744</f>
        <v>1.1290322580645162E-2</v>
      </c>
      <c r="K23" s="37">
        <v>0</v>
      </c>
      <c r="L23" s="38">
        <f>H23+I23+J23</f>
        <v>0.44566505376344084</v>
      </c>
      <c r="M23" s="39">
        <f>0.181+0.192</f>
        <v>0.373</v>
      </c>
      <c r="N23" s="40">
        <f>0.181+0.192-L23</f>
        <v>-7.2665053763440846E-2</v>
      </c>
      <c r="O23" s="49" t="s">
        <v>37</v>
      </c>
      <c r="P23" s="46">
        <f t="shared" si="4"/>
        <v>3267.4800000000005</v>
      </c>
      <c r="Q23" s="54">
        <v>1.72</v>
      </c>
      <c r="R23" s="44">
        <f t="shared" si="5"/>
        <v>119.48124765775894</v>
      </c>
    </row>
    <row r="24" spans="1:18" ht="15.75" thickBot="1" x14ac:dyDescent="0.3">
      <c r="A24" s="55" t="s">
        <v>60</v>
      </c>
      <c r="B24" s="56" t="s">
        <v>61</v>
      </c>
      <c r="C24" s="57">
        <v>1.3481800000000002</v>
      </c>
      <c r="D24" s="57">
        <v>1.1180000000000001E-2</v>
      </c>
      <c r="E24" s="58">
        <v>0</v>
      </c>
      <c r="F24" s="58">
        <v>0</v>
      </c>
      <c r="G24" s="57">
        <v>5.466E-2</v>
      </c>
      <c r="H24" s="59">
        <f t="shared" si="0"/>
        <v>1.4140200000000001</v>
      </c>
      <c r="I24" s="60">
        <f>(73.3+88.2+6.34)/744+0.01</f>
        <v>0.23559139784946237</v>
      </c>
      <c r="J24" s="61">
        <f>22.51/744</f>
        <v>3.0255376344086024E-2</v>
      </c>
      <c r="K24" s="62">
        <v>0</v>
      </c>
      <c r="L24" s="63">
        <f>H24+I24+J24</f>
        <v>1.6798667741935485</v>
      </c>
      <c r="M24" s="64">
        <v>1.7629999999999999</v>
      </c>
      <c r="N24" s="65">
        <f t="shared" si="2"/>
        <v>8.3133225806451438E-2</v>
      </c>
      <c r="O24" s="66">
        <f>N24</f>
        <v>8.3133225806451438E-2</v>
      </c>
      <c r="P24" s="67">
        <f t="shared" si="4"/>
        <v>15443.880000000001</v>
      </c>
      <c r="Q24" s="68">
        <v>1.7629999999999999</v>
      </c>
      <c r="R24" s="30">
        <f t="shared" si="5"/>
        <v>95.284558944614218</v>
      </c>
    </row>
    <row r="25" spans="1:18" ht="15.75" thickBot="1" x14ac:dyDescent="0.3">
      <c r="A25" s="69" t="s">
        <v>18</v>
      </c>
      <c r="B25" s="70"/>
      <c r="C25" s="71">
        <f>SUM(C4:C24)</f>
        <v>73.95986000000002</v>
      </c>
      <c r="D25" s="71">
        <f t="shared" ref="D25:L25" si="6">SUM(D4:D24)</f>
        <v>1.03026</v>
      </c>
      <c r="E25" s="71">
        <f t="shared" si="6"/>
        <v>0.72450000000000003</v>
      </c>
      <c r="F25" s="71">
        <f t="shared" si="6"/>
        <v>0</v>
      </c>
      <c r="G25" s="71">
        <f t="shared" si="6"/>
        <v>4.8349600000000006</v>
      </c>
      <c r="H25" s="71">
        <f t="shared" si="6"/>
        <v>80.549580000000006</v>
      </c>
      <c r="I25" s="72">
        <f>SUM(I4:I24)</f>
        <v>8.4293145161290344</v>
      </c>
      <c r="J25" s="73">
        <f t="shared" si="6"/>
        <v>1.7012365591397849</v>
      </c>
      <c r="K25" s="73">
        <f t="shared" si="6"/>
        <v>0.23014499999999999</v>
      </c>
      <c r="L25" s="74">
        <f t="shared" si="6"/>
        <v>90.910276075268811</v>
      </c>
      <c r="M25" s="75">
        <f>SUM(M4:M24)</f>
        <v>111.88300000000004</v>
      </c>
      <c r="N25" s="75">
        <f>SUM(N4:N24)</f>
        <v>23.083623924731175</v>
      </c>
      <c r="O25" s="75">
        <f>SUM(O4:O24)</f>
        <v>17.831027473118272</v>
      </c>
      <c r="P25" s="76">
        <f>SUM(P4:P24)</f>
        <v>980095.08</v>
      </c>
      <c r="Q25" s="77">
        <f>SUM(Q4:Q24)</f>
        <v>146.34579999999997</v>
      </c>
      <c r="R25" s="78">
        <f t="shared" si="5"/>
        <v>81.254771569647559</v>
      </c>
    </row>
    <row r="26" spans="1:18" x14ac:dyDescent="0.25">
      <c r="A26" s="79" t="s">
        <v>62</v>
      </c>
      <c r="B26" s="80"/>
    </row>
    <row r="28" spans="1:18" x14ac:dyDescent="0.25">
      <c r="J28" s="81"/>
      <c r="L28" s="82"/>
      <c r="N28" s="82">
        <f>N6+N8</f>
        <v>0.42509537634408545</v>
      </c>
    </row>
  </sheetData>
  <mergeCells count="14">
    <mergeCell ref="O2:O3"/>
    <mergeCell ref="P2:P3"/>
    <mergeCell ref="Q2:Q3"/>
    <mergeCell ref="R2:R3"/>
    <mergeCell ref="A1:O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workbookViewId="0">
      <selection activeCell="K27" sqref="K27"/>
    </sheetView>
  </sheetViews>
  <sheetFormatPr defaultRowHeight="15" x14ac:dyDescent="0.25"/>
  <cols>
    <col min="1" max="1" width="16.85546875" customWidth="1"/>
    <col min="2" max="2" width="25.42578125" customWidth="1"/>
    <col min="9" max="9" width="16.28515625" customWidth="1"/>
    <col min="10" max="11" width="16.42578125" customWidth="1"/>
    <col min="12" max="12" width="19.85546875" customWidth="1"/>
    <col min="13" max="13" width="21.28515625" customWidth="1"/>
    <col min="14" max="14" width="18.42578125" customWidth="1"/>
    <col min="15" max="15" width="17" customWidth="1"/>
    <col min="16" max="16" width="21.140625" customWidth="1"/>
    <col min="17" max="17" width="21" customWidth="1"/>
    <col min="18" max="18" width="17.85546875" customWidth="1"/>
    <col min="257" max="257" width="16.85546875" customWidth="1"/>
    <col min="258" max="258" width="25.42578125" customWidth="1"/>
    <col min="265" max="265" width="16.28515625" customWidth="1"/>
    <col min="266" max="267" width="16.42578125" customWidth="1"/>
    <col min="268" max="268" width="19.85546875" customWidth="1"/>
    <col min="269" max="269" width="21.28515625" customWidth="1"/>
    <col min="270" max="270" width="18.42578125" customWidth="1"/>
    <col min="271" max="271" width="17" customWidth="1"/>
    <col min="272" max="272" width="21.140625" customWidth="1"/>
    <col min="273" max="273" width="21" customWidth="1"/>
    <col min="274" max="274" width="17.85546875" customWidth="1"/>
    <col min="513" max="513" width="16.85546875" customWidth="1"/>
    <col min="514" max="514" width="25.42578125" customWidth="1"/>
    <col min="521" max="521" width="16.28515625" customWidth="1"/>
    <col min="522" max="523" width="16.42578125" customWidth="1"/>
    <col min="524" max="524" width="19.85546875" customWidth="1"/>
    <col min="525" max="525" width="21.28515625" customWidth="1"/>
    <col min="526" max="526" width="18.42578125" customWidth="1"/>
    <col min="527" max="527" width="17" customWidth="1"/>
    <col min="528" max="528" width="21.140625" customWidth="1"/>
    <col min="529" max="529" width="21" customWidth="1"/>
    <col min="530" max="530" width="17.85546875" customWidth="1"/>
    <col min="769" max="769" width="16.85546875" customWidth="1"/>
    <col min="770" max="770" width="25.42578125" customWidth="1"/>
    <col min="777" max="777" width="16.28515625" customWidth="1"/>
    <col min="778" max="779" width="16.42578125" customWidth="1"/>
    <col min="780" max="780" width="19.85546875" customWidth="1"/>
    <col min="781" max="781" width="21.28515625" customWidth="1"/>
    <col min="782" max="782" width="18.42578125" customWidth="1"/>
    <col min="783" max="783" width="17" customWidth="1"/>
    <col min="784" max="784" width="21.140625" customWidth="1"/>
    <col min="785" max="785" width="21" customWidth="1"/>
    <col min="786" max="786" width="17.85546875" customWidth="1"/>
    <col min="1025" max="1025" width="16.85546875" customWidth="1"/>
    <col min="1026" max="1026" width="25.42578125" customWidth="1"/>
    <col min="1033" max="1033" width="16.28515625" customWidth="1"/>
    <col min="1034" max="1035" width="16.42578125" customWidth="1"/>
    <col min="1036" max="1036" width="19.85546875" customWidth="1"/>
    <col min="1037" max="1037" width="21.28515625" customWidth="1"/>
    <col min="1038" max="1038" width="18.42578125" customWidth="1"/>
    <col min="1039" max="1039" width="17" customWidth="1"/>
    <col min="1040" max="1040" width="21.140625" customWidth="1"/>
    <col min="1041" max="1041" width="21" customWidth="1"/>
    <col min="1042" max="1042" width="17.85546875" customWidth="1"/>
    <col min="1281" max="1281" width="16.85546875" customWidth="1"/>
    <col min="1282" max="1282" width="25.42578125" customWidth="1"/>
    <col min="1289" max="1289" width="16.28515625" customWidth="1"/>
    <col min="1290" max="1291" width="16.42578125" customWidth="1"/>
    <col min="1292" max="1292" width="19.85546875" customWidth="1"/>
    <col min="1293" max="1293" width="21.28515625" customWidth="1"/>
    <col min="1294" max="1294" width="18.42578125" customWidth="1"/>
    <col min="1295" max="1295" width="17" customWidth="1"/>
    <col min="1296" max="1296" width="21.140625" customWidth="1"/>
    <col min="1297" max="1297" width="21" customWidth="1"/>
    <col min="1298" max="1298" width="17.85546875" customWidth="1"/>
    <col min="1537" max="1537" width="16.85546875" customWidth="1"/>
    <col min="1538" max="1538" width="25.42578125" customWidth="1"/>
    <col min="1545" max="1545" width="16.28515625" customWidth="1"/>
    <col min="1546" max="1547" width="16.42578125" customWidth="1"/>
    <col min="1548" max="1548" width="19.85546875" customWidth="1"/>
    <col min="1549" max="1549" width="21.28515625" customWidth="1"/>
    <col min="1550" max="1550" width="18.42578125" customWidth="1"/>
    <col min="1551" max="1551" width="17" customWidth="1"/>
    <col min="1552" max="1552" width="21.140625" customWidth="1"/>
    <col min="1553" max="1553" width="21" customWidth="1"/>
    <col min="1554" max="1554" width="17.85546875" customWidth="1"/>
    <col min="1793" max="1793" width="16.85546875" customWidth="1"/>
    <col min="1794" max="1794" width="25.42578125" customWidth="1"/>
    <col min="1801" max="1801" width="16.28515625" customWidth="1"/>
    <col min="1802" max="1803" width="16.42578125" customWidth="1"/>
    <col min="1804" max="1804" width="19.85546875" customWidth="1"/>
    <col min="1805" max="1805" width="21.28515625" customWidth="1"/>
    <col min="1806" max="1806" width="18.42578125" customWidth="1"/>
    <col min="1807" max="1807" width="17" customWidth="1"/>
    <col min="1808" max="1808" width="21.140625" customWidth="1"/>
    <col min="1809" max="1809" width="21" customWidth="1"/>
    <col min="1810" max="1810" width="17.85546875" customWidth="1"/>
    <col min="2049" max="2049" width="16.85546875" customWidth="1"/>
    <col min="2050" max="2050" width="25.42578125" customWidth="1"/>
    <col min="2057" max="2057" width="16.28515625" customWidth="1"/>
    <col min="2058" max="2059" width="16.42578125" customWidth="1"/>
    <col min="2060" max="2060" width="19.85546875" customWidth="1"/>
    <col min="2061" max="2061" width="21.28515625" customWidth="1"/>
    <col min="2062" max="2062" width="18.42578125" customWidth="1"/>
    <col min="2063" max="2063" width="17" customWidth="1"/>
    <col min="2064" max="2064" width="21.140625" customWidth="1"/>
    <col min="2065" max="2065" width="21" customWidth="1"/>
    <col min="2066" max="2066" width="17.85546875" customWidth="1"/>
    <col min="2305" max="2305" width="16.85546875" customWidth="1"/>
    <col min="2306" max="2306" width="25.42578125" customWidth="1"/>
    <col min="2313" max="2313" width="16.28515625" customWidth="1"/>
    <col min="2314" max="2315" width="16.42578125" customWidth="1"/>
    <col min="2316" max="2316" width="19.85546875" customWidth="1"/>
    <col min="2317" max="2317" width="21.28515625" customWidth="1"/>
    <col min="2318" max="2318" width="18.42578125" customWidth="1"/>
    <col min="2319" max="2319" width="17" customWidth="1"/>
    <col min="2320" max="2320" width="21.140625" customWidth="1"/>
    <col min="2321" max="2321" width="21" customWidth="1"/>
    <col min="2322" max="2322" width="17.85546875" customWidth="1"/>
    <col min="2561" max="2561" width="16.85546875" customWidth="1"/>
    <col min="2562" max="2562" width="25.42578125" customWidth="1"/>
    <col min="2569" max="2569" width="16.28515625" customWidth="1"/>
    <col min="2570" max="2571" width="16.42578125" customWidth="1"/>
    <col min="2572" max="2572" width="19.85546875" customWidth="1"/>
    <col min="2573" max="2573" width="21.28515625" customWidth="1"/>
    <col min="2574" max="2574" width="18.42578125" customWidth="1"/>
    <col min="2575" max="2575" width="17" customWidth="1"/>
    <col min="2576" max="2576" width="21.140625" customWidth="1"/>
    <col min="2577" max="2577" width="21" customWidth="1"/>
    <col min="2578" max="2578" width="17.85546875" customWidth="1"/>
    <col min="2817" max="2817" width="16.85546875" customWidth="1"/>
    <col min="2818" max="2818" width="25.42578125" customWidth="1"/>
    <col min="2825" max="2825" width="16.28515625" customWidth="1"/>
    <col min="2826" max="2827" width="16.42578125" customWidth="1"/>
    <col min="2828" max="2828" width="19.85546875" customWidth="1"/>
    <col min="2829" max="2829" width="21.28515625" customWidth="1"/>
    <col min="2830" max="2830" width="18.42578125" customWidth="1"/>
    <col min="2831" max="2831" width="17" customWidth="1"/>
    <col min="2832" max="2832" width="21.140625" customWidth="1"/>
    <col min="2833" max="2833" width="21" customWidth="1"/>
    <col min="2834" max="2834" width="17.85546875" customWidth="1"/>
    <col min="3073" max="3073" width="16.85546875" customWidth="1"/>
    <col min="3074" max="3074" width="25.42578125" customWidth="1"/>
    <col min="3081" max="3081" width="16.28515625" customWidth="1"/>
    <col min="3082" max="3083" width="16.42578125" customWidth="1"/>
    <col min="3084" max="3084" width="19.85546875" customWidth="1"/>
    <col min="3085" max="3085" width="21.28515625" customWidth="1"/>
    <col min="3086" max="3086" width="18.42578125" customWidth="1"/>
    <col min="3087" max="3087" width="17" customWidth="1"/>
    <col min="3088" max="3088" width="21.140625" customWidth="1"/>
    <col min="3089" max="3089" width="21" customWidth="1"/>
    <col min="3090" max="3090" width="17.85546875" customWidth="1"/>
    <col min="3329" max="3329" width="16.85546875" customWidth="1"/>
    <col min="3330" max="3330" width="25.42578125" customWidth="1"/>
    <col min="3337" max="3337" width="16.28515625" customWidth="1"/>
    <col min="3338" max="3339" width="16.42578125" customWidth="1"/>
    <col min="3340" max="3340" width="19.85546875" customWidth="1"/>
    <col min="3341" max="3341" width="21.28515625" customWidth="1"/>
    <col min="3342" max="3342" width="18.42578125" customWidth="1"/>
    <col min="3343" max="3343" width="17" customWidth="1"/>
    <col min="3344" max="3344" width="21.140625" customWidth="1"/>
    <col min="3345" max="3345" width="21" customWidth="1"/>
    <col min="3346" max="3346" width="17.85546875" customWidth="1"/>
    <col min="3585" max="3585" width="16.85546875" customWidth="1"/>
    <col min="3586" max="3586" width="25.42578125" customWidth="1"/>
    <col min="3593" max="3593" width="16.28515625" customWidth="1"/>
    <col min="3594" max="3595" width="16.42578125" customWidth="1"/>
    <col min="3596" max="3596" width="19.85546875" customWidth="1"/>
    <col min="3597" max="3597" width="21.28515625" customWidth="1"/>
    <col min="3598" max="3598" width="18.42578125" customWidth="1"/>
    <col min="3599" max="3599" width="17" customWidth="1"/>
    <col min="3600" max="3600" width="21.140625" customWidth="1"/>
    <col min="3601" max="3601" width="21" customWidth="1"/>
    <col min="3602" max="3602" width="17.85546875" customWidth="1"/>
    <col min="3841" max="3841" width="16.85546875" customWidth="1"/>
    <col min="3842" max="3842" width="25.42578125" customWidth="1"/>
    <col min="3849" max="3849" width="16.28515625" customWidth="1"/>
    <col min="3850" max="3851" width="16.42578125" customWidth="1"/>
    <col min="3852" max="3852" width="19.85546875" customWidth="1"/>
    <col min="3853" max="3853" width="21.28515625" customWidth="1"/>
    <col min="3854" max="3854" width="18.42578125" customWidth="1"/>
    <col min="3855" max="3855" width="17" customWidth="1"/>
    <col min="3856" max="3856" width="21.140625" customWidth="1"/>
    <col min="3857" max="3857" width="21" customWidth="1"/>
    <col min="3858" max="3858" width="17.85546875" customWidth="1"/>
    <col min="4097" max="4097" width="16.85546875" customWidth="1"/>
    <col min="4098" max="4098" width="25.42578125" customWidth="1"/>
    <col min="4105" max="4105" width="16.28515625" customWidth="1"/>
    <col min="4106" max="4107" width="16.42578125" customWidth="1"/>
    <col min="4108" max="4108" width="19.85546875" customWidth="1"/>
    <col min="4109" max="4109" width="21.28515625" customWidth="1"/>
    <col min="4110" max="4110" width="18.42578125" customWidth="1"/>
    <col min="4111" max="4111" width="17" customWidth="1"/>
    <col min="4112" max="4112" width="21.140625" customWidth="1"/>
    <col min="4113" max="4113" width="21" customWidth="1"/>
    <col min="4114" max="4114" width="17.85546875" customWidth="1"/>
    <col min="4353" max="4353" width="16.85546875" customWidth="1"/>
    <col min="4354" max="4354" width="25.42578125" customWidth="1"/>
    <col min="4361" max="4361" width="16.28515625" customWidth="1"/>
    <col min="4362" max="4363" width="16.42578125" customWidth="1"/>
    <col min="4364" max="4364" width="19.85546875" customWidth="1"/>
    <col min="4365" max="4365" width="21.28515625" customWidth="1"/>
    <col min="4366" max="4366" width="18.42578125" customWidth="1"/>
    <col min="4367" max="4367" width="17" customWidth="1"/>
    <col min="4368" max="4368" width="21.140625" customWidth="1"/>
    <col min="4369" max="4369" width="21" customWidth="1"/>
    <col min="4370" max="4370" width="17.85546875" customWidth="1"/>
    <col min="4609" max="4609" width="16.85546875" customWidth="1"/>
    <col min="4610" max="4610" width="25.42578125" customWidth="1"/>
    <col min="4617" max="4617" width="16.28515625" customWidth="1"/>
    <col min="4618" max="4619" width="16.42578125" customWidth="1"/>
    <col min="4620" max="4620" width="19.85546875" customWidth="1"/>
    <col min="4621" max="4621" width="21.28515625" customWidth="1"/>
    <col min="4622" max="4622" width="18.42578125" customWidth="1"/>
    <col min="4623" max="4623" width="17" customWidth="1"/>
    <col min="4624" max="4624" width="21.140625" customWidth="1"/>
    <col min="4625" max="4625" width="21" customWidth="1"/>
    <col min="4626" max="4626" width="17.85546875" customWidth="1"/>
    <col min="4865" max="4865" width="16.85546875" customWidth="1"/>
    <col min="4866" max="4866" width="25.42578125" customWidth="1"/>
    <col min="4873" max="4873" width="16.28515625" customWidth="1"/>
    <col min="4874" max="4875" width="16.42578125" customWidth="1"/>
    <col min="4876" max="4876" width="19.85546875" customWidth="1"/>
    <col min="4877" max="4877" width="21.28515625" customWidth="1"/>
    <col min="4878" max="4878" width="18.42578125" customWidth="1"/>
    <col min="4879" max="4879" width="17" customWidth="1"/>
    <col min="4880" max="4880" width="21.140625" customWidth="1"/>
    <col min="4881" max="4881" width="21" customWidth="1"/>
    <col min="4882" max="4882" width="17.85546875" customWidth="1"/>
    <col min="5121" max="5121" width="16.85546875" customWidth="1"/>
    <col min="5122" max="5122" width="25.42578125" customWidth="1"/>
    <col min="5129" max="5129" width="16.28515625" customWidth="1"/>
    <col min="5130" max="5131" width="16.42578125" customWidth="1"/>
    <col min="5132" max="5132" width="19.85546875" customWidth="1"/>
    <col min="5133" max="5133" width="21.28515625" customWidth="1"/>
    <col min="5134" max="5134" width="18.42578125" customWidth="1"/>
    <col min="5135" max="5135" width="17" customWidth="1"/>
    <col min="5136" max="5136" width="21.140625" customWidth="1"/>
    <col min="5137" max="5137" width="21" customWidth="1"/>
    <col min="5138" max="5138" width="17.85546875" customWidth="1"/>
    <col min="5377" max="5377" width="16.85546875" customWidth="1"/>
    <col min="5378" max="5378" width="25.42578125" customWidth="1"/>
    <col min="5385" max="5385" width="16.28515625" customWidth="1"/>
    <col min="5386" max="5387" width="16.42578125" customWidth="1"/>
    <col min="5388" max="5388" width="19.85546875" customWidth="1"/>
    <col min="5389" max="5389" width="21.28515625" customWidth="1"/>
    <col min="5390" max="5390" width="18.42578125" customWidth="1"/>
    <col min="5391" max="5391" width="17" customWidth="1"/>
    <col min="5392" max="5392" width="21.140625" customWidth="1"/>
    <col min="5393" max="5393" width="21" customWidth="1"/>
    <col min="5394" max="5394" width="17.85546875" customWidth="1"/>
    <col min="5633" max="5633" width="16.85546875" customWidth="1"/>
    <col min="5634" max="5634" width="25.42578125" customWidth="1"/>
    <col min="5641" max="5641" width="16.28515625" customWidth="1"/>
    <col min="5642" max="5643" width="16.42578125" customWidth="1"/>
    <col min="5644" max="5644" width="19.85546875" customWidth="1"/>
    <col min="5645" max="5645" width="21.28515625" customWidth="1"/>
    <col min="5646" max="5646" width="18.42578125" customWidth="1"/>
    <col min="5647" max="5647" width="17" customWidth="1"/>
    <col min="5648" max="5648" width="21.140625" customWidth="1"/>
    <col min="5649" max="5649" width="21" customWidth="1"/>
    <col min="5650" max="5650" width="17.85546875" customWidth="1"/>
    <col min="5889" max="5889" width="16.85546875" customWidth="1"/>
    <col min="5890" max="5890" width="25.42578125" customWidth="1"/>
    <col min="5897" max="5897" width="16.28515625" customWidth="1"/>
    <col min="5898" max="5899" width="16.42578125" customWidth="1"/>
    <col min="5900" max="5900" width="19.85546875" customWidth="1"/>
    <col min="5901" max="5901" width="21.28515625" customWidth="1"/>
    <col min="5902" max="5902" width="18.42578125" customWidth="1"/>
    <col min="5903" max="5903" width="17" customWidth="1"/>
    <col min="5904" max="5904" width="21.140625" customWidth="1"/>
    <col min="5905" max="5905" width="21" customWidth="1"/>
    <col min="5906" max="5906" width="17.85546875" customWidth="1"/>
    <col min="6145" max="6145" width="16.85546875" customWidth="1"/>
    <col min="6146" max="6146" width="25.42578125" customWidth="1"/>
    <col min="6153" max="6153" width="16.28515625" customWidth="1"/>
    <col min="6154" max="6155" width="16.42578125" customWidth="1"/>
    <col min="6156" max="6156" width="19.85546875" customWidth="1"/>
    <col min="6157" max="6157" width="21.28515625" customWidth="1"/>
    <col min="6158" max="6158" width="18.42578125" customWidth="1"/>
    <col min="6159" max="6159" width="17" customWidth="1"/>
    <col min="6160" max="6160" width="21.140625" customWidth="1"/>
    <col min="6161" max="6161" width="21" customWidth="1"/>
    <col min="6162" max="6162" width="17.85546875" customWidth="1"/>
    <col min="6401" max="6401" width="16.85546875" customWidth="1"/>
    <col min="6402" max="6402" width="25.42578125" customWidth="1"/>
    <col min="6409" max="6409" width="16.28515625" customWidth="1"/>
    <col min="6410" max="6411" width="16.42578125" customWidth="1"/>
    <col min="6412" max="6412" width="19.85546875" customWidth="1"/>
    <col min="6413" max="6413" width="21.28515625" customWidth="1"/>
    <col min="6414" max="6414" width="18.42578125" customWidth="1"/>
    <col min="6415" max="6415" width="17" customWidth="1"/>
    <col min="6416" max="6416" width="21.140625" customWidth="1"/>
    <col min="6417" max="6417" width="21" customWidth="1"/>
    <col min="6418" max="6418" width="17.85546875" customWidth="1"/>
    <col min="6657" max="6657" width="16.85546875" customWidth="1"/>
    <col min="6658" max="6658" width="25.42578125" customWidth="1"/>
    <col min="6665" max="6665" width="16.28515625" customWidth="1"/>
    <col min="6666" max="6667" width="16.42578125" customWidth="1"/>
    <col min="6668" max="6668" width="19.85546875" customWidth="1"/>
    <col min="6669" max="6669" width="21.28515625" customWidth="1"/>
    <col min="6670" max="6670" width="18.42578125" customWidth="1"/>
    <col min="6671" max="6671" width="17" customWidth="1"/>
    <col min="6672" max="6672" width="21.140625" customWidth="1"/>
    <col min="6673" max="6673" width="21" customWidth="1"/>
    <col min="6674" max="6674" width="17.85546875" customWidth="1"/>
    <col min="6913" max="6913" width="16.85546875" customWidth="1"/>
    <col min="6914" max="6914" width="25.42578125" customWidth="1"/>
    <col min="6921" max="6921" width="16.28515625" customWidth="1"/>
    <col min="6922" max="6923" width="16.42578125" customWidth="1"/>
    <col min="6924" max="6924" width="19.85546875" customWidth="1"/>
    <col min="6925" max="6925" width="21.28515625" customWidth="1"/>
    <col min="6926" max="6926" width="18.42578125" customWidth="1"/>
    <col min="6927" max="6927" width="17" customWidth="1"/>
    <col min="6928" max="6928" width="21.140625" customWidth="1"/>
    <col min="6929" max="6929" width="21" customWidth="1"/>
    <col min="6930" max="6930" width="17.85546875" customWidth="1"/>
    <col min="7169" max="7169" width="16.85546875" customWidth="1"/>
    <col min="7170" max="7170" width="25.42578125" customWidth="1"/>
    <col min="7177" max="7177" width="16.28515625" customWidth="1"/>
    <col min="7178" max="7179" width="16.42578125" customWidth="1"/>
    <col min="7180" max="7180" width="19.85546875" customWidth="1"/>
    <col min="7181" max="7181" width="21.28515625" customWidth="1"/>
    <col min="7182" max="7182" width="18.42578125" customWidth="1"/>
    <col min="7183" max="7183" width="17" customWidth="1"/>
    <col min="7184" max="7184" width="21.140625" customWidth="1"/>
    <col min="7185" max="7185" width="21" customWidth="1"/>
    <col min="7186" max="7186" width="17.85546875" customWidth="1"/>
    <col min="7425" max="7425" width="16.85546875" customWidth="1"/>
    <col min="7426" max="7426" width="25.42578125" customWidth="1"/>
    <col min="7433" max="7433" width="16.28515625" customWidth="1"/>
    <col min="7434" max="7435" width="16.42578125" customWidth="1"/>
    <col min="7436" max="7436" width="19.85546875" customWidth="1"/>
    <col min="7437" max="7437" width="21.28515625" customWidth="1"/>
    <col min="7438" max="7438" width="18.42578125" customWidth="1"/>
    <col min="7439" max="7439" width="17" customWidth="1"/>
    <col min="7440" max="7440" width="21.140625" customWidth="1"/>
    <col min="7441" max="7441" width="21" customWidth="1"/>
    <col min="7442" max="7442" width="17.85546875" customWidth="1"/>
    <col min="7681" max="7681" width="16.85546875" customWidth="1"/>
    <col min="7682" max="7682" width="25.42578125" customWidth="1"/>
    <col min="7689" max="7689" width="16.28515625" customWidth="1"/>
    <col min="7690" max="7691" width="16.42578125" customWidth="1"/>
    <col min="7692" max="7692" width="19.85546875" customWidth="1"/>
    <col min="7693" max="7693" width="21.28515625" customWidth="1"/>
    <col min="7694" max="7694" width="18.42578125" customWidth="1"/>
    <col min="7695" max="7695" width="17" customWidth="1"/>
    <col min="7696" max="7696" width="21.140625" customWidth="1"/>
    <col min="7697" max="7697" width="21" customWidth="1"/>
    <col min="7698" max="7698" width="17.85546875" customWidth="1"/>
    <col min="7937" max="7937" width="16.85546875" customWidth="1"/>
    <col min="7938" max="7938" width="25.42578125" customWidth="1"/>
    <col min="7945" max="7945" width="16.28515625" customWidth="1"/>
    <col min="7946" max="7947" width="16.42578125" customWidth="1"/>
    <col min="7948" max="7948" width="19.85546875" customWidth="1"/>
    <col min="7949" max="7949" width="21.28515625" customWidth="1"/>
    <col min="7950" max="7950" width="18.42578125" customWidth="1"/>
    <col min="7951" max="7951" width="17" customWidth="1"/>
    <col min="7952" max="7952" width="21.140625" customWidth="1"/>
    <col min="7953" max="7953" width="21" customWidth="1"/>
    <col min="7954" max="7954" width="17.85546875" customWidth="1"/>
    <col min="8193" max="8193" width="16.85546875" customWidth="1"/>
    <col min="8194" max="8194" width="25.42578125" customWidth="1"/>
    <col min="8201" max="8201" width="16.28515625" customWidth="1"/>
    <col min="8202" max="8203" width="16.42578125" customWidth="1"/>
    <col min="8204" max="8204" width="19.85546875" customWidth="1"/>
    <col min="8205" max="8205" width="21.28515625" customWidth="1"/>
    <col min="8206" max="8206" width="18.42578125" customWidth="1"/>
    <col min="8207" max="8207" width="17" customWidth="1"/>
    <col min="8208" max="8208" width="21.140625" customWidth="1"/>
    <col min="8209" max="8209" width="21" customWidth="1"/>
    <col min="8210" max="8210" width="17.85546875" customWidth="1"/>
    <col min="8449" max="8449" width="16.85546875" customWidth="1"/>
    <col min="8450" max="8450" width="25.42578125" customWidth="1"/>
    <col min="8457" max="8457" width="16.28515625" customWidth="1"/>
    <col min="8458" max="8459" width="16.42578125" customWidth="1"/>
    <col min="8460" max="8460" width="19.85546875" customWidth="1"/>
    <col min="8461" max="8461" width="21.28515625" customWidth="1"/>
    <col min="8462" max="8462" width="18.42578125" customWidth="1"/>
    <col min="8463" max="8463" width="17" customWidth="1"/>
    <col min="8464" max="8464" width="21.140625" customWidth="1"/>
    <col min="8465" max="8465" width="21" customWidth="1"/>
    <col min="8466" max="8466" width="17.85546875" customWidth="1"/>
    <col min="8705" max="8705" width="16.85546875" customWidth="1"/>
    <col min="8706" max="8706" width="25.42578125" customWidth="1"/>
    <col min="8713" max="8713" width="16.28515625" customWidth="1"/>
    <col min="8714" max="8715" width="16.42578125" customWidth="1"/>
    <col min="8716" max="8716" width="19.85546875" customWidth="1"/>
    <col min="8717" max="8717" width="21.28515625" customWidth="1"/>
    <col min="8718" max="8718" width="18.42578125" customWidth="1"/>
    <col min="8719" max="8719" width="17" customWidth="1"/>
    <col min="8720" max="8720" width="21.140625" customWidth="1"/>
    <col min="8721" max="8721" width="21" customWidth="1"/>
    <col min="8722" max="8722" width="17.85546875" customWidth="1"/>
    <col min="8961" max="8961" width="16.85546875" customWidth="1"/>
    <col min="8962" max="8962" width="25.42578125" customWidth="1"/>
    <col min="8969" max="8969" width="16.28515625" customWidth="1"/>
    <col min="8970" max="8971" width="16.42578125" customWidth="1"/>
    <col min="8972" max="8972" width="19.85546875" customWidth="1"/>
    <col min="8973" max="8973" width="21.28515625" customWidth="1"/>
    <col min="8974" max="8974" width="18.42578125" customWidth="1"/>
    <col min="8975" max="8975" width="17" customWidth="1"/>
    <col min="8976" max="8976" width="21.140625" customWidth="1"/>
    <col min="8977" max="8977" width="21" customWidth="1"/>
    <col min="8978" max="8978" width="17.85546875" customWidth="1"/>
    <col min="9217" max="9217" width="16.85546875" customWidth="1"/>
    <col min="9218" max="9218" width="25.42578125" customWidth="1"/>
    <col min="9225" max="9225" width="16.28515625" customWidth="1"/>
    <col min="9226" max="9227" width="16.42578125" customWidth="1"/>
    <col min="9228" max="9228" width="19.85546875" customWidth="1"/>
    <col min="9229" max="9229" width="21.28515625" customWidth="1"/>
    <col min="9230" max="9230" width="18.42578125" customWidth="1"/>
    <col min="9231" max="9231" width="17" customWidth="1"/>
    <col min="9232" max="9232" width="21.140625" customWidth="1"/>
    <col min="9233" max="9233" width="21" customWidth="1"/>
    <col min="9234" max="9234" width="17.85546875" customWidth="1"/>
    <col min="9473" max="9473" width="16.85546875" customWidth="1"/>
    <col min="9474" max="9474" width="25.42578125" customWidth="1"/>
    <col min="9481" max="9481" width="16.28515625" customWidth="1"/>
    <col min="9482" max="9483" width="16.42578125" customWidth="1"/>
    <col min="9484" max="9484" width="19.85546875" customWidth="1"/>
    <col min="9485" max="9485" width="21.28515625" customWidth="1"/>
    <col min="9486" max="9486" width="18.42578125" customWidth="1"/>
    <col min="9487" max="9487" width="17" customWidth="1"/>
    <col min="9488" max="9488" width="21.140625" customWidth="1"/>
    <col min="9489" max="9489" width="21" customWidth="1"/>
    <col min="9490" max="9490" width="17.85546875" customWidth="1"/>
    <col min="9729" max="9729" width="16.85546875" customWidth="1"/>
    <col min="9730" max="9730" width="25.42578125" customWidth="1"/>
    <col min="9737" max="9737" width="16.28515625" customWidth="1"/>
    <col min="9738" max="9739" width="16.42578125" customWidth="1"/>
    <col min="9740" max="9740" width="19.85546875" customWidth="1"/>
    <col min="9741" max="9741" width="21.28515625" customWidth="1"/>
    <col min="9742" max="9742" width="18.42578125" customWidth="1"/>
    <col min="9743" max="9743" width="17" customWidth="1"/>
    <col min="9744" max="9744" width="21.140625" customWidth="1"/>
    <col min="9745" max="9745" width="21" customWidth="1"/>
    <col min="9746" max="9746" width="17.85546875" customWidth="1"/>
    <col min="9985" max="9985" width="16.85546875" customWidth="1"/>
    <col min="9986" max="9986" width="25.42578125" customWidth="1"/>
    <col min="9993" max="9993" width="16.28515625" customWidth="1"/>
    <col min="9994" max="9995" width="16.42578125" customWidth="1"/>
    <col min="9996" max="9996" width="19.85546875" customWidth="1"/>
    <col min="9997" max="9997" width="21.28515625" customWidth="1"/>
    <col min="9998" max="9998" width="18.42578125" customWidth="1"/>
    <col min="9999" max="9999" width="17" customWidth="1"/>
    <col min="10000" max="10000" width="21.140625" customWidth="1"/>
    <col min="10001" max="10001" width="21" customWidth="1"/>
    <col min="10002" max="10002" width="17.85546875" customWidth="1"/>
    <col min="10241" max="10241" width="16.85546875" customWidth="1"/>
    <col min="10242" max="10242" width="25.42578125" customWidth="1"/>
    <col min="10249" max="10249" width="16.28515625" customWidth="1"/>
    <col min="10250" max="10251" width="16.42578125" customWidth="1"/>
    <col min="10252" max="10252" width="19.85546875" customWidth="1"/>
    <col min="10253" max="10253" width="21.28515625" customWidth="1"/>
    <col min="10254" max="10254" width="18.42578125" customWidth="1"/>
    <col min="10255" max="10255" width="17" customWidth="1"/>
    <col min="10256" max="10256" width="21.140625" customWidth="1"/>
    <col min="10257" max="10257" width="21" customWidth="1"/>
    <col min="10258" max="10258" width="17.85546875" customWidth="1"/>
    <col min="10497" max="10497" width="16.85546875" customWidth="1"/>
    <col min="10498" max="10498" width="25.42578125" customWidth="1"/>
    <col min="10505" max="10505" width="16.28515625" customWidth="1"/>
    <col min="10506" max="10507" width="16.42578125" customWidth="1"/>
    <col min="10508" max="10508" width="19.85546875" customWidth="1"/>
    <col min="10509" max="10509" width="21.28515625" customWidth="1"/>
    <col min="10510" max="10510" width="18.42578125" customWidth="1"/>
    <col min="10511" max="10511" width="17" customWidth="1"/>
    <col min="10512" max="10512" width="21.140625" customWidth="1"/>
    <col min="10513" max="10513" width="21" customWidth="1"/>
    <col min="10514" max="10514" width="17.85546875" customWidth="1"/>
    <col min="10753" max="10753" width="16.85546875" customWidth="1"/>
    <col min="10754" max="10754" width="25.42578125" customWidth="1"/>
    <col min="10761" max="10761" width="16.28515625" customWidth="1"/>
    <col min="10762" max="10763" width="16.42578125" customWidth="1"/>
    <col min="10764" max="10764" width="19.85546875" customWidth="1"/>
    <col min="10765" max="10765" width="21.28515625" customWidth="1"/>
    <col min="10766" max="10766" width="18.42578125" customWidth="1"/>
    <col min="10767" max="10767" width="17" customWidth="1"/>
    <col min="10768" max="10768" width="21.140625" customWidth="1"/>
    <col min="10769" max="10769" width="21" customWidth="1"/>
    <col min="10770" max="10770" width="17.85546875" customWidth="1"/>
    <col min="11009" max="11009" width="16.85546875" customWidth="1"/>
    <col min="11010" max="11010" width="25.42578125" customWidth="1"/>
    <col min="11017" max="11017" width="16.28515625" customWidth="1"/>
    <col min="11018" max="11019" width="16.42578125" customWidth="1"/>
    <col min="11020" max="11020" width="19.85546875" customWidth="1"/>
    <col min="11021" max="11021" width="21.28515625" customWidth="1"/>
    <col min="11022" max="11022" width="18.42578125" customWidth="1"/>
    <col min="11023" max="11023" width="17" customWidth="1"/>
    <col min="11024" max="11024" width="21.140625" customWidth="1"/>
    <col min="11025" max="11025" width="21" customWidth="1"/>
    <col min="11026" max="11026" width="17.85546875" customWidth="1"/>
    <col min="11265" max="11265" width="16.85546875" customWidth="1"/>
    <col min="11266" max="11266" width="25.42578125" customWidth="1"/>
    <col min="11273" max="11273" width="16.28515625" customWidth="1"/>
    <col min="11274" max="11275" width="16.42578125" customWidth="1"/>
    <col min="11276" max="11276" width="19.85546875" customWidth="1"/>
    <col min="11277" max="11277" width="21.28515625" customWidth="1"/>
    <col min="11278" max="11278" width="18.42578125" customWidth="1"/>
    <col min="11279" max="11279" width="17" customWidth="1"/>
    <col min="11280" max="11280" width="21.140625" customWidth="1"/>
    <col min="11281" max="11281" width="21" customWidth="1"/>
    <col min="11282" max="11282" width="17.85546875" customWidth="1"/>
    <col min="11521" max="11521" width="16.85546875" customWidth="1"/>
    <col min="11522" max="11522" width="25.42578125" customWidth="1"/>
    <col min="11529" max="11529" width="16.28515625" customWidth="1"/>
    <col min="11530" max="11531" width="16.42578125" customWidth="1"/>
    <col min="11532" max="11532" width="19.85546875" customWidth="1"/>
    <col min="11533" max="11533" width="21.28515625" customWidth="1"/>
    <col min="11534" max="11534" width="18.42578125" customWidth="1"/>
    <col min="11535" max="11535" width="17" customWidth="1"/>
    <col min="11536" max="11536" width="21.140625" customWidth="1"/>
    <col min="11537" max="11537" width="21" customWidth="1"/>
    <col min="11538" max="11538" width="17.85546875" customWidth="1"/>
    <col min="11777" max="11777" width="16.85546875" customWidth="1"/>
    <col min="11778" max="11778" width="25.42578125" customWidth="1"/>
    <col min="11785" max="11785" width="16.28515625" customWidth="1"/>
    <col min="11786" max="11787" width="16.42578125" customWidth="1"/>
    <col min="11788" max="11788" width="19.85546875" customWidth="1"/>
    <col min="11789" max="11789" width="21.28515625" customWidth="1"/>
    <col min="11790" max="11790" width="18.42578125" customWidth="1"/>
    <col min="11791" max="11791" width="17" customWidth="1"/>
    <col min="11792" max="11792" width="21.140625" customWidth="1"/>
    <col min="11793" max="11793" width="21" customWidth="1"/>
    <col min="11794" max="11794" width="17.85546875" customWidth="1"/>
    <col min="12033" max="12033" width="16.85546875" customWidth="1"/>
    <col min="12034" max="12034" width="25.42578125" customWidth="1"/>
    <col min="12041" max="12041" width="16.28515625" customWidth="1"/>
    <col min="12042" max="12043" width="16.42578125" customWidth="1"/>
    <col min="12044" max="12044" width="19.85546875" customWidth="1"/>
    <col min="12045" max="12045" width="21.28515625" customWidth="1"/>
    <col min="12046" max="12046" width="18.42578125" customWidth="1"/>
    <col min="12047" max="12047" width="17" customWidth="1"/>
    <col min="12048" max="12048" width="21.140625" customWidth="1"/>
    <col min="12049" max="12049" width="21" customWidth="1"/>
    <col min="12050" max="12050" width="17.85546875" customWidth="1"/>
    <col min="12289" max="12289" width="16.85546875" customWidth="1"/>
    <col min="12290" max="12290" width="25.42578125" customWidth="1"/>
    <col min="12297" max="12297" width="16.28515625" customWidth="1"/>
    <col min="12298" max="12299" width="16.42578125" customWidth="1"/>
    <col min="12300" max="12300" width="19.85546875" customWidth="1"/>
    <col min="12301" max="12301" width="21.28515625" customWidth="1"/>
    <col min="12302" max="12302" width="18.42578125" customWidth="1"/>
    <col min="12303" max="12303" width="17" customWidth="1"/>
    <col min="12304" max="12304" width="21.140625" customWidth="1"/>
    <col min="12305" max="12305" width="21" customWidth="1"/>
    <col min="12306" max="12306" width="17.85546875" customWidth="1"/>
    <col min="12545" max="12545" width="16.85546875" customWidth="1"/>
    <col min="12546" max="12546" width="25.42578125" customWidth="1"/>
    <col min="12553" max="12553" width="16.28515625" customWidth="1"/>
    <col min="12554" max="12555" width="16.42578125" customWidth="1"/>
    <col min="12556" max="12556" width="19.85546875" customWidth="1"/>
    <col min="12557" max="12557" width="21.28515625" customWidth="1"/>
    <col min="12558" max="12558" width="18.42578125" customWidth="1"/>
    <col min="12559" max="12559" width="17" customWidth="1"/>
    <col min="12560" max="12560" width="21.140625" customWidth="1"/>
    <col min="12561" max="12561" width="21" customWidth="1"/>
    <col min="12562" max="12562" width="17.85546875" customWidth="1"/>
    <col min="12801" max="12801" width="16.85546875" customWidth="1"/>
    <col min="12802" max="12802" width="25.42578125" customWidth="1"/>
    <col min="12809" max="12809" width="16.28515625" customWidth="1"/>
    <col min="12810" max="12811" width="16.42578125" customWidth="1"/>
    <col min="12812" max="12812" width="19.85546875" customWidth="1"/>
    <col min="12813" max="12813" width="21.28515625" customWidth="1"/>
    <col min="12814" max="12814" width="18.42578125" customWidth="1"/>
    <col min="12815" max="12815" width="17" customWidth="1"/>
    <col min="12816" max="12816" width="21.140625" customWidth="1"/>
    <col min="12817" max="12817" width="21" customWidth="1"/>
    <col min="12818" max="12818" width="17.85546875" customWidth="1"/>
    <col min="13057" max="13057" width="16.85546875" customWidth="1"/>
    <col min="13058" max="13058" width="25.42578125" customWidth="1"/>
    <col min="13065" max="13065" width="16.28515625" customWidth="1"/>
    <col min="13066" max="13067" width="16.42578125" customWidth="1"/>
    <col min="13068" max="13068" width="19.85546875" customWidth="1"/>
    <col min="13069" max="13069" width="21.28515625" customWidth="1"/>
    <col min="13070" max="13070" width="18.42578125" customWidth="1"/>
    <col min="13071" max="13071" width="17" customWidth="1"/>
    <col min="13072" max="13072" width="21.140625" customWidth="1"/>
    <col min="13073" max="13073" width="21" customWidth="1"/>
    <col min="13074" max="13074" width="17.85546875" customWidth="1"/>
    <col min="13313" max="13313" width="16.85546875" customWidth="1"/>
    <col min="13314" max="13314" width="25.42578125" customWidth="1"/>
    <col min="13321" max="13321" width="16.28515625" customWidth="1"/>
    <col min="13322" max="13323" width="16.42578125" customWidth="1"/>
    <col min="13324" max="13324" width="19.85546875" customWidth="1"/>
    <col min="13325" max="13325" width="21.28515625" customWidth="1"/>
    <col min="13326" max="13326" width="18.42578125" customWidth="1"/>
    <col min="13327" max="13327" width="17" customWidth="1"/>
    <col min="13328" max="13328" width="21.140625" customWidth="1"/>
    <col min="13329" max="13329" width="21" customWidth="1"/>
    <col min="13330" max="13330" width="17.85546875" customWidth="1"/>
    <col min="13569" max="13569" width="16.85546875" customWidth="1"/>
    <col min="13570" max="13570" width="25.42578125" customWidth="1"/>
    <col min="13577" max="13577" width="16.28515625" customWidth="1"/>
    <col min="13578" max="13579" width="16.42578125" customWidth="1"/>
    <col min="13580" max="13580" width="19.85546875" customWidth="1"/>
    <col min="13581" max="13581" width="21.28515625" customWidth="1"/>
    <col min="13582" max="13582" width="18.42578125" customWidth="1"/>
    <col min="13583" max="13583" width="17" customWidth="1"/>
    <col min="13584" max="13584" width="21.140625" customWidth="1"/>
    <col min="13585" max="13585" width="21" customWidth="1"/>
    <col min="13586" max="13586" width="17.85546875" customWidth="1"/>
    <col min="13825" max="13825" width="16.85546875" customWidth="1"/>
    <col min="13826" max="13826" width="25.42578125" customWidth="1"/>
    <col min="13833" max="13833" width="16.28515625" customWidth="1"/>
    <col min="13834" max="13835" width="16.42578125" customWidth="1"/>
    <col min="13836" max="13836" width="19.85546875" customWidth="1"/>
    <col min="13837" max="13837" width="21.28515625" customWidth="1"/>
    <col min="13838" max="13838" width="18.42578125" customWidth="1"/>
    <col min="13839" max="13839" width="17" customWidth="1"/>
    <col min="13840" max="13840" width="21.140625" customWidth="1"/>
    <col min="13841" max="13841" width="21" customWidth="1"/>
    <col min="13842" max="13842" width="17.85546875" customWidth="1"/>
    <col min="14081" max="14081" width="16.85546875" customWidth="1"/>
    <col min="14082" max="14082" width="25.42578125" customWidth="1"/>
    <col min="14089" max="14089" width="16.28515625" customWidth="1"/>
    <col min="14090" max="14091" width="16.42578125" customWidth="1"/>
    <col min="14092" max="14092" width="19.85546875" customWidth="1"/>
    <col min="14093" max="14093" width="21.28515625" customWidth="1"/>
    <col min="14094" max="14094" width="18.42578125" customWidth="1"/>
    <col min="14095" max="14095" width="17" customWidth="1"/>
    <col min="14096" max="14096" width="21.140625" customWidth="1"/>
    <col min="14097" max="14097" width="21" customWidth="1"/>
    <col min="14098" max="14098" width="17.85546875" customWidth="1"/>
    <col min="14337" max="14337" width="16.85546875" customWidth="1"/>
    <col min="14338" max="14338" width="25.42578125" customWidth="1"/>
    <col min="14345" max="14345" width="16.28515625" customWidth="1"/>
    <col min="14346" max="14347" width="16.42578125" customWidth="1"/>
    <col min="14348" max="14348" width="19.85546875" customWidth="1"/>
    <col min="14349" max="14349" width="21.28515625" customWidth="1"/>
    <col min="14350" max="14350" width="18.42578125" customWidth="1"/>
    <col min="14351" max="14351" width="17" customWidth="1"/>
    <col min="14352" max="14352" width="21.140625" customWidth="1"/>
    <col min="14353" max="14353" width="21" customWidth="1"/>
    <col min="14354" max="14354" width="17.85546875" customWidth="1"/>
    <col min="14593" max="14593" width="16.85546875" customWidth="1"/>
    <col min="14594" max="14594" width="25.42578125" customWidth="1"/>
    <col min="14601" max="14601" width="16.28515625" customWidth="1"/>
    <col min="14602" max="14603" width="16.42578125" customWidth="1"/>
    <col min="14604" max="14604" width="19.85546875" customWidth="1"/>
    <col min="14605" max="14605" width="21.28515625" customWidth="1"/>
    <col min="14606" max="14606" width="18.42578125" customWidth="1"/>
    <col min="14607" max="14607" width="17" customWidth="1"/>
    <col min="14608" max="14608" width="21.140625" customWidth="1"/>
    <col min="14609" max="14609" width="21" customWidth="1"/>
    <col min="14610" max="14610" width="17.85546875" customWidth="1"/>
    <col min="14849" max="14849" width="16.85546875" customWidth="1"/>
    <col min="14850" max="14850" width="25.42578125" customWidth="1"/>
    <col min="14857" max="14857" width="16.28515625" customWidth="1"/>
    <col min="14858" max="14859" width="16.42578125" customWidth="1"/>
    <col min="14860" max="14860" width="19.85546875" customWidth="1"/>
    <col min="14861" max="14861" width="21.28515625" customWidth="1"/>
    <col min="14862" max="14862" width="18.42578125" customWidth="1"/>
    <col min="14863" max="14863" width="17" customWidth="1"/>
    <col min="14864" max="14864" width="21.140625" customWidth="1"/>
    <col min="14865" max="14865" width="21" customWidth="1"/>
    <col min="14866" max="14866" width="17.85546875" customWidth="1"/>
    <col min="15105" max="15105" width="16.85546875" customWidth="1"/>
    <col min="15106" max="15106" width="25.42578125" customWidth="1"/>
    <col min="15113" max="15113" width="16.28515625" customWidth="1"/>
    <col min="15114" max="15115" width="16.42578125" customWidth="1"/>
    <col min="15116" max="15116" width="19.85546875" customWidth="1"/>
    <col min="15117" max="15117" width="21.28515625" customWidth="1"/>
    <col min="15118" max="15118" width="18.42578125" customWidth="1"/>
    <col min="15119" max="15119" width="17" customWidth="1"/>
    <col min="15120" max="15120" width="21.140625" customWidth="1"/>
    <col min="15121" max="15121" width="21" customWidth="1"/>
    <col min="15122" max="15122" width="17.85546875" customWidth="1"/>
    <col min="15361" max="15361" width="16.85546875" customWidth="1"/>
    <col min="15362" max="15362" width="25.42578125" customWidth="1"/>
    <col min="15369" max="15369" width="16.28515625" customWidth="1"/>
    <col min="15370" max="15371" width="16.42578125" customWidth="1"/>
    <col min="15372" max="15372" width="19.85546875" customWidth="1"/>
    <col min="15373" max="15373" width="21.28515625" customWidth="1"/>
    <col min="15374" max="15374" width="18.42578125" customWidth="1"/>
    <col min="15375" max="15375" width="17" customWidth="1"/>
    <col min="15376" max="15376" width="21.140625" customWidth="1"/>
    <col min="15377" max="15377" width="21" customWidth="1"/>
    <col min="15378" max="15378" width="17.85546875" customWidth="1"/>
    <col min="15617" max="15617" width="16.85546875" customWidth="1"/>
    <col min="15618" max="15618" width="25.42578125" customWidth="1"/>
    <col min="15625" max="15625" width="16.28515625" customWidth="1"/>
    <col min="15626" max="15627" width="16.42578125" customWidth="1"/>
    <col min="15628" max="15628" width="19.85546875" customWidth="1"/>
    <col min="15629" max="15629" width="21.28515625" customWidth="1"/>
    <col min="15630" max="15630" width="18.42578125" customWidth="1"/>
    <col min="15631" max="15631" width="17" customWidth="1"/>
    <col min="15632" max="15632" width="21.140625" customWidth="1"/>
    <col min="15633" max="15633" width="21" customWidth="1"/>
    <col min="15634" max="15634" width="17.85546875" customWidth="1"/>
    <col min="15873" max="15873" width="16.85546875" customWidth="1"/>
    <col min="15874" max="15874" width="25.42578125" customWidth="1"/>
    <col min="15881" max="15881" width="16.28515625" customWidth="1"/>
    <col min="15882" max="15883" width="16.42578125" customWidth="1"/>
    <col min="15884" max="15884" width="19.85546875" customWidth="1"/>
    <col min="15885" max="15885" width="21.28515625" customWidth="1"/>
    <col min="15886" max="15886" width="18.42578125" customWidth="1"/>
    <col min="15887" max="15887" width="17" customWidth="1"/>
    <col min="15888" max="15888" width="21.140625" customWidth="1"/>
    <col min="15889" max="15889" width="21" customWidth="1"/>
    <col min="15890" max="15890" width="17.85546875" customWidth="1"/>
    <col min="16129" max="16129" width="16.85546875" customWidth="1"/>
    <col min="16130" max="16130" width="25.42578125" customWidth="1"/>
    <col min="16137" max="16137" width="16.28515625" customWidth="1"/>
    <col min="16138" max="16139" width="16.42578125" customWidth="1"/>
    <col min="16140" max="16140" width="19.85546875" customWidth="1"/>
    <col min="16141" max="16141" width="21.28515625" customWidth="1"/>
    <col min="16142" max="16142" width="18.42578125" customWidth="1"/>
    <col min="16143" max="16143" width="17" customWidth="1"/>
    <col min="16144" max="16144" width="21.140625" customWidth="1"/>
    <col min="16145" max="16145" width="21" customWidth="1"/>
    <col min="16146" max="16146" width="17.85546875" customWidth="1"/>
  </cols>
  <sheetData>
    <row r="1" spans="1:18" ht="18.75" thickBot="1" x14ac:dyDescent="0.3">
      <c r="A1" s="1" t="s">
        <v>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</row>
    <row r="2" spans="1:18" ht="39" customHeight="1" thickBot="1" x14ac:dyDescent="0.3">
      <c r="A2" s="3" t="s">
        <v>0</v>
      </c>
      <c r="B2" s="3" t="s">
        <v>1</v>
      </c>
      <c r="C2" s="4" t="s">
        <v>2</v>
      </c>
      <c r="D2" s="5"/>
      <c r="E2" s="5"/>
      <c r="F2" s="5"/>
      <c r="G2" s="5"/>
      <c r="H2" s="6"/>
      <c r="I2" s="7" t="s">
        <v>3</v>
      </c>
      <c r="J2" s="8" t="s">
        <v>4</v>
      </c>
      <c r="K2" s="8" t="s">
        <v>5</v>
      </c>
      <c r="L2" s="7" t="s">
        <v>6</v>
      </c>
      <c r="M2" s="7" t="s">
        <v>7</v>
      </c>
      <c r="N2" s="7" t="s">
        <v>8</v>
      </c>
      <c r="O2" s="7" t="s">
        <v>9</v>
      </c>
      <c r="P2" s="9" t="s">
        <v>10</v>
      </c>
      <c r="Q2" s="7" t="s">
        <v>11</v>
      </c>
      <c r="R2" s="7" t="s">
        <v>12</v>
      </c>
    </row>
    <row r="3" spans="1:18" ht="56.25" customHeight="1" thickBot="1" x14ac:dyDescent="0.3">
      <c r="A3" s="10"/>
      <c r="B3" s="10"/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2" t="s">
        <v>18</v>
      </c>
      <c r="I3" s="13"/>
      <c r="J3" s="14"/>
      <c r="K3" s="14"/>
      <c r="L3" s="13"/>
      <c r="M3" s="13"/>
      <c r="N3" s="13"/>
      <c r="O3" s="13"/>
      <c r="P3" s="15"/>
      <c r="Q3" s="13"/>
      <c r="R3" s="13"/>
    </row>
    <row r="4" spans="1:18" ht="33" customHeight="1" x14ac:dyDescent="0.25">
      <c r="A4" s="16" t="s">
        <v>19</v>
      </c>
      <c r="B4" s="17" t="s">
        <v>20</v>
      </c>
      <c r="C4" s="18">
        <v>3.5978600000000007</v>
      </c>
      <c r="D4" s="18">
        <v>3.2000000000000002E-3</v>
      </c>
      <c r="E4" s="19">
        <v>0</v>
      </c>
      <c r="F4" s="19">
        <v>0</v>
      </c>
      <c r="G4" s="18">
        <v>0.37580999999999998</v>
      </c>
      <c r="H4" s="20">
        <f>SUM(C4:G4)</f>
        <v>3.9768700000000008</v>
      </c>
      <c r="I4" s="21">
        <f>(298.01+53.84+17.98)/744</f>
        <v>0.49708333333333338</v>
      </c>
      <c r="J4" s="22">
        <f>128.41/744</f>
        <v>0.17259408602150536</v>
      </c>
      <c r="K4" s="23">
        <v>0</v>
      </c>
      <c r="L4" s="24">
        <f>H4+I4+J4</f>
        <v>4.6465474193548397</v>
      </c>
      <c r="M4" s="25">
        <f>2.368+2.435+2.178</f>
        <v>6.9809999999999999</v>
      </c>
      <c r="N4" s="26">
        <f>Q4-L4</f>
        <v>2.0734525806451609</v>
      </c>
      <c r="O4" s="27">
        <f>N4</f>
        <v>2.0734525806451609</v>
      </c>
      <c r="P4" s="28">
        <f>M4*365*24</f>
        <v>61153.56</v>
      </c>
      <c r="Q4" s="29">
        <f>2.24*3</f>
        <v>6.7200000000000006</v>
      </c>
      <c r="R4" s="30">
        <f>L4/M4*100</f>
        <v>66.559911464759196</v>
      </c>
    </row>
    <row r="5" spans="1:18" x14ac:dyDescent="0.25">
      <c r="A5" s="31" t="s">
        <v>21</v>
      </c>
      <c r="B5" s="32" t="s">
        <v>22</v>
      </c>
      <c r="C5" s="33">
        <v>0.34899999999999998</v>
      </c>
      <c r="D5" s="33">
        <v>0</v>
      </c>
      <c r="E5" s="34">
        <v>0</v>
      </c>
      <c r="F5" s="34">
        <v>0</v>
      </c>
      <c r="G5" s="33">
        <v>7.4999999999999997E-3</v>
      </c>
      <c r="H5" s="35">
        <f t="shared" ref="H5:H24" si="0">SUM(C5:G5)</f>
        <v>0.35649999999999998</v>
      </c>
      <c r="I5" s="21">
        <f>(41.2+1.61)/744</f>
        <v>5.7540322580645162E-2</v>
      </c>
      <c r="J5" s="36">
        <f>10.07/744</f>
        <v>1.3534946236559139E-2</v>
      </c>
      <c r="K5" s="37">
        <v>0</v>
      </c>
      <c r="L5" s="38">
        <f t="shared" ref="L5:L21" si="1">H5+I5+J5</f>
        <v>0.42757526881720431</v>
      </c>
      <c r="M5" s="39">
        <f>0.085+0.452+0.417</f>
        <v>0.95399999999999996</v>
      </c>
      <c r="N5" s="40">
        <f t="shared" ref="N5:N24" si="2">Q5-L5</f>
        <v>0.73742473118279572</v>
      </c>
      <c r="O5" s="41">
        <f t="shared" ref="O5:O21" si="3">N5</f>
        <v>0.73742473118279572</v>
      </c>
      <c r="P5" s="42">
        <f t="shared" ref="P5:P24" si="4">M5*365*24</f>
        <v>8357.0399999999991</v>
      </c>
      <c r="Q5" s="43">
        <v>1.165</v>
      </c>
      <c r="R5" s="44">
        <f t="shared" ref="R5:R25" si="5">L5/M5*100</f>
        <v>44.819210567841125</v>
      </c>
    </row>
    <row r="6" spans="1:18" x14ac:dyDescent="0.25">
      <c r="A6" s="31" t="s">
        <v>23</v>
      </c>
      <c r="B6" s="32" t="s">
        <v>24</v>
      </c>
      <c r="C6" s="33">
        <v>0.71088000000000029</v>
      </c>
      <c r="D6" s="33">
        <v>0</v>
      </c>
      <c r="E6" s="34">
        <v>0</v>
      </c>
      <c r="F6" s="34">
        <v>0</v>
      </c>
      <c r="G6" s="33">
        <v>1.259E-2</v>
      </c>
      <c r="H6" s="35">
        <f t="shared" si="0"/>
        <v>0.72347000000000028</v>
      </c>
      <c r="I6" s="21">
        <f>(100.18+3.29)/744</f>
        <v>0.13907258064516131</v>
      </c>
      <c r="J6" s="36">
        <f>11.41/744</f>
        <v>1.5336021505376345E-2</v>
      </c>
      <c r="K6" s="37">
        <v>0</v>
      </c>
      <c r="L6" s="38">
        <f t="shared" si="1"/>
        <v>0.87787860215053803</v>
      </c>
      <c r="M6" s="39">
        <f>0.4+0.29+0.288</f>
        <v>0.97799999999999998</v>
      </c>
      <c r="N6" s="40">
        <f t="shared" si="2"/>
        <v>7.0121397849461919E-2</v>
      </c>
      <c r="O6" s="41">
        <f t="shared" si="3"/>
        <v>7.0121397849461919E-2</v>
      </c>
      <c r="P6" s="42">
        <f t="shared" si="4"/>
        <v>8567.2799999999988</v>
      </c>
      <c r="Q6" s="43">
        <v>0.94799999999999995</v>
      </c>
      <c r="R6" s="44">
        <f t="shared" si="5"/>
        <v>89.762638256701237</v>
      </c>
    </row>
    <row r="7" spans="1:18" x14ac:dyDescent="0.25">
      <c r="A7" s="31" t="s">
        <v>25</v>
      </c>
      <c r="B7" s="32" t="s">
        <v>26</v>
      </c>
      <c r="C7" s="33">
        <v>0.36099999999999999</v>
      </c>
      <c r="D7" s="33">
        <v>0</v>
      </c>
      <c r="E7" s="34">
        <v>0</v>
      </c>
      <c r="F7" s="34">
        <v>0</v>
      </c>
      <c r="G7" s="33">
        <v>6.3300000000000006E-3</v>
      </c>
      <c r="H7" s="35">
        <f t="shared" si="0"/>
        <v>0.36732999999999999</v>
      </c>
      <c r="I7" s="21">
        <f>(10.32+1.46)/744</f>
        <v>1.5833333333333335E-2</v>
      </c>
      <c r="J7" s="36">
        <f>12.75/744</f>
        <v>1.7137096774193547E-2</v>
      </c>
      <c r="K7" s="37">
        <v>0</v>
      </c>
      <c r="L7" s="38">
        <f t="shared" si="1"/>
        <v>0.40030043010752686</v>
      </c>
      <c r="M7" s="39">
        <f>0.3+0.297+0.154</f>
        <v>0.751</v>
      </c>
      <c r="N7" s="40">
        <f t="shared" si="2"/>
        <v>0.26879956989247317</v>
      </c>
      <c r="O7" s="41">
        <f t="shared" si="3"/>
        <v>0.26879956989247317</v>
      </c>
      <c r="P7" s="42">
        <f t="shared" si="4"/>
        <v>6578.76</v>
      </c>
      <c r="Q7" s="43">
        <v>0.66910000000000003</v>
      </c>
      <c r="R7" s="44">
        <f t="shared" si="5"/>
        <v>53.302320919777216</v>
      </c>
    </row>
    <row r="8" spans="1:18" ht="15" customHeight="1" x14ac:dyDescent="0.25">
      <c r="A8" s="31" t="s">
        <v>27</v>
      </c>
      <c r="B8" s="45" t="s">
        <v>28</v>
      </c>
      <c r="C8" s="33">
        <v>0.38644000000000001</v>
      </c>
      <c r="D8" s="33">
        <v>0.01</v>
      </c>
      <c r="E8" s="34">
        <v>0</v>
      </c>
      <c r="F8" s="34">
        <v>0</v>
      </c>
      <c r="G8" s="33">
        <v>2.1250000000000002E-2</v>
      </c>
      <c r="H8" s="35">
        <f t="shared" si="0"/>
        <v>0.41769000000000001</v>
      </c>
      <c r="I8" s="21">
        <f>(107.68+1.81)/744</f>
        <v>0.14716397849462368</v>
      </c>
      <c r="J8" s="36">
        <f>20.96/744</f>
        <v>2.8172043010752688E-2</v>
      </c>
      <c r="K8" s="37">
        <v>0</v>
      </c>
      <c r="L8" s="38">
        <f t="shared" si="1"/>
        <v>0.59302602150537642</v>
      </c>
      <c r="M8" s="39">
        <f>0.35+0.268+0.262</f>
        <v>0.88</v>
      </c>
      <c r="N8" s="40">
        <f t="shared" si="2"/>
        <v>0.35497397849462353</v>
      </c>
      <c r="O8" s="41">
        <f t="shared" si="3"/>
        <v>0.35497397849462353</v>
      </c>
      <c r="P8" s="46">
        <f t="shared" si="4"/>
        <v>7708.7999999999993</v>
      </c>
      <c r="Q8" s="43">
        <v>0.94799999999999995</v>
      </c>
      <c r="R8" s="44">
        <f t="shared" si="5"/>
        <v>67.389320625610964</v>
      </c>
    </row>
    <row r="9" spans="1:18" x14ac:dyDescent="0.25">
      <c r="A9" s="31" t="s">
        <v>29</v>
      </c>
      <c r="B9" s="45" t="s">
        <v>30</v>
      </c>
      <c r="C9" s="33">
        <v>1.2936300000000001</v>
      </c>
      <c r="D9" s="33">
        <v>2.0499999999999997E-2</v>
      </c>
      <c r="E9" s="34">
        <v>0</v>
      </c>
      <c r="F9" s="34">
        <v>0</v>
      </c>
      <c r="G9" s="33">
        <v>0.14544000000000001</v>
      </c>
      <c r="H9" s="35">
        <f t="shared" si="0"/>
        <v>1.45957</v>
      </c>
      <c r="I9" s="21">
        <f>(31.18+6.04)/744</f>
        <v>5.0026881720430107E-2</v>
      </c>
      <c r="J9" s="36">
        <f>24.45/744</f>
        <v>3.2862903225806449E-2</v>
      </c>
      <c r="K9" s="37">
        <v>0</v>
      </c>
      <c r="L9" s="38">
        <f t="shared" si="1"/>
        <v>1.5424597849462367</v>
      </c>
      <c r="M9" s="47">
        <v>1.72</v>
      </c>
      <c r="N9" s="40">
        <f t="shared" si="2"/>
        <v>0.17754021505376327</v>
      </c>
      <c r="O9" s="41">
        <f t="shared" si="3"/>
        <v>0.17754021505376327</v>
      </c>
      <c r="P9" s="46">
        <f t="shared" si="4"/>
        <v>15067.199999999999</v>
      </c>
      <c r="Q9" s="43">
        <v>1.72</v>
      </c>
      <c r="R9" s="44">
        <f t="shared" si="5"/>
        <v>89.677894473618409</v>
      </c>
    </row>
    <row r="10" spans="1:18" x14ac:dyDescent="0.25">
      <c r="A10" s="31" t="s">
        <v>31</v>
      </c>
      <c r="B10" s="45" t="s">
        <v>32</v>
      </c>
      <c r="C10" s="33">
        <v>2.1968999999999999</v>
      </c>
      <c r="D10" s="33">
        <v>4.5999999999999999E-3</v>
      </c>
      <c r="E10" s="33">
        <v>1.2E-2</v>
      </c>
      <c r="F10" s="34">
        <v>0</v>
      </c>
      <c r="G10" s="33">
        <v>0.17810000000000001</v>
      </c>
      <c r="H10" s="35">
        <f t="shared" si="0"/>
        <v>2.3915999999999999</v>
      </c>
      <c r="I10" s="21">
        <f>(45.82+12.45)/744</f>
        <v>7.8319892473118269E-2</v>
      </c>
      <c r="J10" s="36">
        <f>49.58/744</f>
        <v>6.6639784946236555E-2</v>
      </c>
      <c r="K10" s="37">
        <v>0</v>
      </c>
      <c r="L10" s="38">
        <f t="shared" si="1"/>
        <v>2.5365596774193544</v>
      </c>
      <c r="M10" s="39">
        <f>2.697+2.697</f>
        <v>5.3940000000000001</v>
      </c>
      <c r="N10" s="48">
        <f>2.697+2.697-L10</f>
        <v>2.8574403225806457</v>
      </c>
      <c r="O10" s="41">
        <f t="shared" si="3"/>
        <v>2.8574403225806457</v>
      </c>
      <c r="P10" s="46">
        <f t="shared" si="4"/>
        <v>47251.44</v>
      </c>
      <c r="Q10" s="43">
        <v>8</v>
      </c>
      <c r="R10" s="44">
        <f t="shared" si="5"/>
        <v>47.025578001841943</v>
      </c>
    </row>
    <row r="11" spans="1:18" x14ac:dyDescent="0.25">
      <c r="A11" s="31" t="s">
        <v>33</v>
      </c>
      <c r="B11" s="45" t="s">
        <v>34</v>
      </c>
      <c r="C11" s="33">
        <v>15.880480000000002</v>
      </c>
      <c r="D11" s="33">
        <v>0</v>
      </c>
      <c r="E11" s="34">
        <v>0</v>
      </c>
      <c r="F11" s="34">
        <v>0</v>
      </c>
      <c r="G11" s="33">
        <v>0</v>
      </c>
      <c r="H11" s="35">
        <f t="shared" si="0"/>
        <v>15.880480000000002</v>
      </c>
      <c r="I11" s="21">
        <f>(1105.91+3.81+77.55)/744</f>
        <v>1.5957930107526881</v>
      </c>
      <c r="J11" s="36">
        <f>114.1/744</f>
        <v>0.15336021505376343</v>
      </c>
      <c r="K11" s="36">
        <v>8.1449999999999995E-3</v>
      </c>
      <c r="L11" s="38">
        <f>H11+I11+J11+K11</f>
        <v>17.637778225806453</v>
      </c>
      <c r="M11" s="39">
        <f>1.804+3.559+3.846+3.706+7.247</f>
        <v>20.161999999999999</v>
      </c>
      <c r="N11" s="48">
        <f>1.804+3.559+3.846+3.706+7.247-L11</f>
        <v>2.5242217741935455</v>
      </c>
      <c r="O11" s="41">
        <f>N11-0.4401</f>
        <v>2.0841217741935454</v>
      </c>
      <c r="P11" s="46">
        <f t="shared" si="4"/>
        <v>176619.12</v>
      </c>
      <c r="Q11" s="43">
        <v>21.9</v>
      </c>
      <c r="R11" s="44">
        <f t="shared" si="5"/>
        <v>87.4803006934156</v>
      </c>
    </row>
    <row r="12" spans="1:18" x14ac:dyDescent="0.25">
      <c r="A12" s="31" t="s">
        <v>35</v>
      </c>
      <c r="B12" s="45" t="s">
        <v>36</v>
      </c>
      <c r="C12" s="33">
        <v>0.63701000000000008</v>
      </c>
      <c r="D12" s="33">
        <v>0</v>
      </c>
      <c r="E12" s="34">
        <v>0</v>
      </c>
      <c r="F12" s="34">
        <v>0</v>
      </c>
      <c r="G12" s="33">
        <v>2.5590000000000002E-2</v>
      </c>
      <c r="H12" s="35">
        <f t="shared" si="0"/>
        <v>0.66260000000000008</v>
      </c>
      <c r="I12" s="21">
        <f>(46.69+2.66)/744</f>
        <v>6.6330645161290308E-2</v>
      </c>
      <c r="J12" s="36">
        <f>20.76/744</f>
        <v>2.7903225806451614E-2</v>
      </c>
      <c r="K12" s="37">
        <v>0</v>
      </c>
      <c r="L12" s="38">
        <f t="shared" si="1"/>
        <v>0.75683387096774202</v>
      </c>
      <c r="M12" s="39">
        <f>0.184+0.184+0.154+0.166</f>
        <v>0.68800000000000006</v>
      </c>
      <c r="N12" s="40">
        <f t="shared" si="2"/>
        <v>-3.3870967741989055E-5</v>
      </c>
      <c r="O12" s="49" t="s">
        <v>37</v>
      </c>
      <c r="P12" s="46">
        <f t="shared" si="4"/>
        <v>6026.880000000001</v>
      </c>
      <c r="Q12" s="43">
        <v>0.75680000000000003</v>
      </c>
      <c r="R12" s="44">
        <f t="shared" si="5"/>
        <v>110.00492310577646</v>
      </c>
    </row>
    <row r="13" spans="1:18" x14ac:dyDescent="0.25">
      <c r="A13" s="31" t="s">
        <v>38</v>
      </c>
      <c r="B13" s="45" t="s">
        <v>39</v>
      </c>
      <c r="C13" s="33">
        <v>0.21560000000000001</v>
      </c>
      <c r="D13" s="33">
        <v>5.4000000000000003E-3</v>
      </c>
      <c r="E13" s="34">
        <v>0</v>
      </c>
      <c r="F13" s="34">
        <v>0</v>
      </c>
      <c r="G13" s="33">
        <v>8.0000000000000002E-3</v>
      </c>
      <c r="H13" s="35">
        <f t="shared" si="0"/>
        <v>0.22900000000000001</v>
      </c>
      <c r="I13" s="21">
        <f>(20.22+1.01)/744</f>
        <v>2.8534946236559139E-2</v>
      </c>
      <c r="J13" s="36">
        <f>9.71/744</f>
        <v>1.3051075268817205E-2</v>
      </c>
      <c r="K13" s="37">
        <v>0</v>
      </c>
      <c r="L13" s="38">
        <f t="shared" si="1"/>
        <v>0.27058602150537636</v>
      </c>
      <c r="M13" s="50">
        <f>0.208+0.203+0.204</f>
        <v>0.61499999999999999</v>
      </c>
      <c r="N13" s="40">
        <f t="shared" si="2"/>
        <v>1.5594139784946237</v>
      </c>
      <c r="O13" s="49" t="s">
        <v>37</v>
      </c>
      <c r="P13" s="46">
        <f t="shared" si="4"/>
        <v>5387.4</v>
      </c>
      <c r="Q13" s="43">
        <f>0.61*3</f>
        <v>1.83</v>
      </c>
      <c r="R13" s="44">
        <f t="shared" si="5"/>
        <v>43.997727074044938</v>
      </c>
    </row>
    <row r="14" spans="1:18" x14ac:dyDescent="0.25">
      <c r="A14" s="31" t="s">
        <v>40</v>
      </c>
      <c r="B14" s="45" t="s">
        <v>41</v>
      </c>
      <c r="C14" s="33">
        <v>1.2821799999999999</v>
      </c>
      <c r="D14" s="33">
        <v>0</v>
      </c>
      <c r="E14" s="34">
        <v>0</v>
      </c>
      <c r="F14" s="34">
        <v>0</v>
      </c>
      <c r="G14" s="33">
        <v>1.183E-2</v>
      </c>
      <c r="H14" s="35">
        <f t="shared" si="0"/>
        <v>1.2940099999999999</v>
      </c>
      <c r="I14" s="21">
        <f>(49.98+5.91)/744</f>
        <v>7.5120967741935482E-2</v>
      </c>
      <c r="J14" s="36">
        <f>13.02/744</f>
        <v>1.7499999999999998E-2</v>
      </c>
      <c r="K14" s="37">
        <v>0</v>
      </c>
      <c r="L14" s="38">
        <f t="shared" si="1"/>
        <v>1.3866309677419355</v>
      </c>
      <c r="M14" s="50">
        <f>0.949+0.931+0.08</f>
        <v>1.96</v>
      </c>
      <c r="N14" s="40">
        <f>0.949+0.931+0.08-L14</f>
        <v>0.57336903225806446</v>
      </c>
      <c r="O14" s="49">
        <f>N14</f>
        <v>0.57336903225806446</v>
      </c>
      <c r="P14" s="46">
        <f t="shared" si="4"/>
        <v>17169.599999999999</v>
      </c>
      <c r="Q14" s="43">
        <v>2.0118999999999998</v>
      </c>
      <c r="R14" s="44">
        <f t="shared" si="5"/>
        <v>70.746477946017123</v>
      </c>
    </row>
    <row r="15" spans="1:18" x14ac:dyDescent="0.25">
      <c r="A15" s="31" t="s">
        <v>42</v>
      </c>
      <c r="B15" s="45" t="s">
        <v>43</v>
      </c>
      <c r="C15" s="33">
        <v>2.35066</v>
      </c>
      <c r="D15" s="33">
        <v>0.19900000000000001</v>
      </c>
      <c r="E15" s="34">
        <v>0</v>
      </c>
      <c r="F15" s="34">
        <v>0</v>
      </c>
      <c r="G15" s="33">
        <v>0.5200800000000001</v>
      </c>
      <c r="H15" s="35">
        <f t="shared" si="0"/>
        <v>3.0697399999999999</v>
      </c>
      <c r="I15" s="21">
        <f>(55.35+11.19)/744</f>
        <v>8.9435483870967752E-2</v>
      </c>
      <c r="J15" s="36">
        <f>31.2/744</f>
        <v>4.1935483870967738E-2</v>
      </c>
      <c r="K15" s="37">
        <v>0</v>
      </c>
      <c r="L15" s="38">
        <f t="shared" si="1"/>
        <v>3.2011109677419354</v>
      </c>
      <c r="M15" s="39">
        <f>0.56+0.544+0.573+0.58+0.589+0.688+0.569+0.54</f>
        <v>4.6429999999999998</v>
      </c>
      <c r="N15" s="40">
        <f t="shared" si="2"/>
        <v>1.4788890322580643</v>
      </c>
      <c r="O15" s="49" t="s">
        <v>37</v>
      </c>
      <c r="P15" s="46">
        <f t="shared" si="4"/>
        <v>40672.68</v>
      </c>
      <c r="Q15" s="43">
        <v>4.68</v>
      </c>
      <c r="R15" s="44">
        <f t="shared" si="5"/>
        <v>68.944884078008513</v>
      </c>
    </row>
    <row r="16" spans="1:18" x14ac:dyDescent="0.25">
      <c r="A16" s="31" t="s">
        <v>44</v>
      </c>
      <c r="B16" s="45" t="s">
        <v>45</v>
      </c>
      <c r="C16" s="33">
        <v>4.7844100000000012</v>
      </c>
      <c r="D16" s="33">
        <v>0.12998000000000001</v>
      </c>
      <c r="E16" s="34">
        <v>0</v>
      </c>
      <c r="F16" s="34">
        <v>0</v>
      </c>
      <c r="G16" s="33">
        <v>0.42693000000000003</v>
      </c>
      <c r="H16" s="35">
        <f t="shared" si="0"/>
        <v>5.3413200000000014</v>
      </c>
      <c r="I16" s="21">
        <f>(318.87+23.91)/744</f>
        <v>0.46072580645161293</v>
      </c>
      <c r="J16" s="36">
        <f>67.75/744</f>
        <v>9.106182795698925E-2</v>
      </c>
      <c r="K16" s="37">
        <v>0</v>
      </c>
      <c r="L16" s="38">
        <f t="shared" si="1"/>
        <v>5.8931076344086035</v>
      </c>
      <c r="M16" s="39">
        <f>0.827+0.649+0.806+0.807+0.603+0.806+0.818+0.716+0.826</f>
        <v>6.8579999999999997</v>
      </c>
      <c r="N16" s="40">
        <f t="shared" si="2"/>
        <v>1.8468923655913967</v>
      </c>
      <c r="O16" s="49" t="s">
        <v>37</v>
      </c>
      <c r="P16" s="46">
        <f t="shared" si="4"/>
        <v>60076.08</v>
      </c>
      <c r="Q16" s="43">
        <v>7.74</v>
      </c>
      <c r="R16" s="44">
        <f t="shared" si="5"/>
        <v>85.9304117003296</v>
      </c>
    </row>
    <row r="17" spans="1:18" x14ac:dyDescent="0.25">
      <c r="A17" s="31" t="s">
        <v>46</v>
      </c>
      <c r="B17" s="45" t="s">
        <v>47</v>
      </c>
      <c r="C17" s="33">
        <v>0</v>
      </c>
      <c r="D17" s="33">
        <v>6.3299999999999995E-2</v>
      </c>
      <c r="E17" s="34">
        <v>0</v>
      </c>
      <c r="F17" s="34">
        <v>0</v>
      </c>
      <c r="G17" s="33">
        <v>0.40930000000000011</v>
      </c>
      <c r="H17" s="35">
        <f t="shared" si="0"/>
        <v>0.47260000000000013</v>
      </c>
      <c r="I17" s="21">
        <f>(112.16+0.27)/744</f>
        <v>0.15111559139784944</v>
      </c>
      <c r="J17" s="36">
        <f>18.2/744</f>
        <v>2.4462365591397847E-2</v>
      </c>
      <c r="K17" s="37">
        <v>0</v>
      </c>
      <c r="L17" s="38">
        <f t="shared" si="1"/>
        <v>0.64817795698924741</v>
      </c>
      <c r="M17" s="39">
        <f>0.379+0.344+0.507+0.349</f>
        <v>1.579</v>
      </c>
      <c r="N17" s="40">
        <f>0.379+0.344+0.507+0.356-L17</f>
        <v>0.93782204301075245</v>
      </c>
      <c r="O17" s="41">
        <f t="shared" si="3"/>
        <v>0.93782204301075245</v>
      </c>
      <c r="P17" s="46">
        <f t="shared" si="4"/>
        <v>13832.04</v>
      </c>
      <c r="Q17" s="43">
        <v>2.13</v>
      </c>
      <c r="R17" s="44">
        <f>L17/M17*100</f>
        <v>41.049902279243028</v>
      </c>
    </row>
    <row r="18" spans="1:18" ht="33" customHeight="1" x14ac:dyDescent="0.25">
      <c r="A18" s="31" t="s">
        <v>48</v>
      </c>
      <c r="B18" s="45" t="s">
        <v>49</v>
      </c>
      <c r="C18" s="33">
        <v>36.09205</v>
      </c>
      <c r="D18" s="33">
        <v>0.58309999999999995</v>
      </c>
      <c r="E18" s="33">
        <v>0.71250000000000002</v>
      </c>
      <c r="F18" s="34">
        <v>0</v>
      </c>
      <c r="G18" s="33">
        <v>2.6253000000000006</v>
      </c>
      <c r="H18" s="35">
        <f t="shared" si="0"/>
        <v>40.012950000000004</v>
      </c>
      <c r="I18" s="21">
        <f>(1640.37+1449.81+181.96)/744</f>
        <v>4.3980376344086016</v>
      </c>
      <c r="J18" s="36">
        <f>674.28/744</f>
        <v>0.90629032258064512</v>
      </c>
      <c r="K18" s="37">
        <v>0</v>
      </c>
      <c r="L18" s="38">
        <f t="shared" si="1"/>
        <v>45.317277956989251</v>
      </c>
      <c r="M18" s="39">
        <f>6.516+5.141+13.301+13.815+13.739</f>
        <v>52.512</v>
      </c>
      <c r="N18" s="40">
        <f>52.512-L18</f>
        <v>7.1947220430107492</v>
      </c>
      <c r="O18" s="51">
        <f>N18</f>
        <v>7.1947220430107492</v>
      </c>
      <c r="P18" s="46">
        <f t="shared" si="4"/>
        <v>460005.12</v>
      </c>
      <c r="Q18" s="52">
        <v>78.400000000000006</v>
      </c>
      <c r="R18" s="44">
        <f t="shared" si="5"/>
        <v>86.298899217301283</v>
      </c>
    </row>
    <row r="19" spans="1:18" ht="15" customHeight="1" x14ac:dyDescent="0.25">
      <c r="A19" s="31" t="s">
        <v>50</v>
      </c>
      <c r="B19" s="53" t="s">
        <v>51</v>
      </c>
      <c r="C19" s="33">
        <v>0.24740000000000001</v>
      </c>
      <c r="D19" s="33">
        <v>0</v>
      </c>
      <c r="E19" s="34">
        <v>0</v>
      </c>
      <c r="F19" s="34">
        <v>0</v>
      </c>
      <c r="G19" s="33">
        <v>0</v>
      </c>
      <c r="H19" s="35">
        <f t="shared" si="0"/>
        <v>0.24740000000000001</v>
      </c>
      <c r="I19" s="21">
        <f>(22.01+1.14)/744</f>
        <v>3.1115591397849467E-2</v>
      </c>
      <c r="J19" s="36">
        <f>2.21/744</f>
        <v>2.9704301075268815E-3</v>
      </c>
      <c r="K19" s="37">
        <v>0</v>
      </c>
      <c r="L19" s="38">
        <f t="shared" si="1"/>
        <v>0.28148602150537638</v>
      </c>
      <c r="M19" s="39">
        <f>0.192+0.193</f>
        <v>0.38500000000000001</v>
      </c>
      <c r="N19" s="40">
        <f t="shared" si="2"/>
        <v>0.10451397849462363</v>
      </c>
      <c r="O19" s="41">
        <f t="shared" si="3"/>
        <v>0.10451397849462363</v>
      </c>
      <c r="P19" s="46">
        <f t="shared" si="4"/>
        <v>3372.6000000000004</v>
      </c>
      <c r="Q19" s="43">
        <v>0.38600000000000001</v>
      </c>
      <c r="R19" s="44">
        <f t="shared" si="5"/>
        <v>73.113252339058803</v>
      </c>
    </row>
    <row r="20" spans="1:18" ht="12.75" customHeight="1" x14ac:dyDescent="0.25">
      <c r="A20" s="31" t="s">
        <v>52</v>
      </c>
      <c r="B20" s="53" t="s">
        <v>53</v>
      </c>
      <c r="C20" s="33">
        <v>0.51493</v>
      </c>
      <c r="D20" s="33">
        <v>0</v>
      </c>
      <c r="E20" s="34">
        <v>0</v>
      </c>
      <c r="F20" s="34">
        <v>0</v>
      </c>
      <c r="G20" s="33">
        <v>6.2500000000000003E-3</v>
      </c>
      <c r="H20" s="35">
        <f t="shared" si="0"/>
        <v>0.52117999999999998</v>
      </c>
      <c r="I20" s="21">
        <f>(14.84+2.37)/744</f>
        <v>2.3131720430107527E-2</v>
      </c>
      <c r="J20" s="36">
        <f>9.81/744</f>
        <v>1.3185483870967742E-2</v>
      </c>
      <c r="K20" s="37">
        <v>0</v>
      </c>
      <c r="L20" s="38">
        <f t="shared" si="1"/>
        <v>0.5574972043010753</v>
      </c>
      <c r="M20" s="39">
        <f>0.48+0.319</f>
        <v>0.79899999999999993</v>
      </c>
      <c r="N20" s="40">
        <f>0.48+0.319-L20</f>
        <v>0.24150279569892463</v>
      </c>
      <c r="O20" s="41">
        <f t="shared" si="3"/>
        <v>0.24150279569892463</v>
      </c>
      <c r="P20" s="46">
        <f t="shared" si="4"/>
        <v>6999.24</v>
      </c>
      <c r="Q20" s="43">
        <v>0.88</v>
      </c>
      <c r="R20" s="44">
        <f t="shared" si="5"/>
        <v>69.774368498257246</v>
      </c>
    </row>
    <row r="21" spans="1:18" x14ac:dyDescent="0.25">
      <c r="A21" s="31" t="s">
        <v>54</v>
      </c>
      <c r="B21" s="53" t="s">
        <v>55</v>
      </c>
      <c r="C21" s="33">
        <v>0.183</v>
      </c>
      <c r="D21" s="33">
        <v>0</v>
      </c>
      <c r="E21" s="34">
        <v>0</v>
      </c>
      <c r="F21" s="34">
        <v>0</v>
      </c>
      <c r="G21" s="33">
        <v>0</v>
      </c>
      <c r="H21" s="35">
        <f t="shared" si="0"/>
        <v>0.183</v>
      </c>
      <c r="I21" s="21">
        <f>(1.4+0.84)/744</f>
        <v>3.0107526881720426E-3</v>
      </c>
      <c r="J21" s="36">
        <f>1.94/744</f>
        <v>2.6075268817204299E-3</v>
      </c>
      <c r="K21" s="37">
        <v>0</v>
      </c>
      <c r="L21" s="38">
        <f t="shared" si="1"/>
        <v>0.18861827956989247</v>
      </c>
      <c r="M21" s="39">
        <f>0.061+0.062+0.062+0.063</f>
        <v>0.248</v>
      </c>
      <c r="N21" s="40">
        <f>0.061+0.062+0.062+0.063-L21</f>
        <v>5.9381720430107532E-2</v>
      </c>
      <c r="O21" s="41">
        <f t="shared" si="3"/>
        <v>5.9381720430107532E-2</v>
      </c>
      <c r="P21" s="46">
        <f t="shared" si="4"/>
        <v>2172.48</v>
      </c>
      <c r="Q21" s="43">
        <v>0.34399999999999997</v>
      </c>
      <c r="R21" s="44">
        <f t="shared" si="5"/>
        <v>76.055757891085676</v>
      </c>
    </row>
    <row r="22" spans="1:18" x14ac:dyDescent="0.25">
      <c r="A22" s="31" t="s">
        <v>56</v>
      </c>
      <c r="B22" s="53" t="s">
        <v>57</v>
      </c>
      <c r="C22" s="33">
        <v>1.13405</v>
      </c>
      <c r="D22" s="33">
        <v>0</v>
      </c>
      <c r="E22" s="34">
        <v>0</v>
      </c>
      <c r="F22" s="34">
        <v>0</v>
      </c>
      <c r="G22" s="33">
        <v>0</v>
      </c>
      <c r="H22" s="35">
        <f t="shared" si="0"/>
        <v>1.13405</v>
      </c>
      <c r="I22" s="21">
        <f>(30.28+146.51+6.35)/744</f>
        <v>0.24615591397849459</v>
      </c>
      <c r="J22" s="36">
        <f>14.2/744</f>
        <v>1.9086021505376343E-2</v>
      </c>
      <c r="K22" s="36">
        <v>0.222</v>
      </c>
      <c r="L22" s="38">
        <f>H22+I22+J22+K22</f>
        <v>1.6212919354838708</v>
      </c>
      <c r="M22" s="39">
        <f>0.818+0.822</f>
        <v>1.64</v>
      </c>
      <c r="N22" s="40">
        <f t="shared" si="2"/>
        <v>1.2708064516129047E-2</v>
      </c>
      <c r="O22" s="49">
        <f>N22</f>
        <v>1.2708064516129047E-2</v>
      </c>
      <c r="P22" s="46">
        <f t="shared" si="4"/>
        <v>14366.399999999998</v>
      </c>
      <c r="Q22" s="54">
        <v>1.6339999999999999</v>
      </c>
      <c r="R22" s="44">
        <v>100</v>
      </c>
    </row>
    <row r="23" spans="1:18" x14ac:dyDescent="0.25">
      <c r="A23" s="31" t="s">
        <v>58</v>
      </c>
      <c r="B23" s="53" t="s">
        <v>59</v>
      </c>
      <c r="C23" s="33">
        <v>0.39419999999999999</v>
      </c>
      <c r="D23" s="33">
        <v>0</v>
      </c>
      <c r="E23" s="34">
        <v>0</v>
      </c>
      <c r="F23" s="34">
        <v>0</v>
      </c>
      <c r="G23" s="33">
        <v>0</v>
      </c>
      <c r="H23" s="35">
        <f t="shared" si="0"/>
        <v>0.39419999999999999</v>
      </c>
      <c r="I23" s="21">
        <f>(8.9+19.18+1.81)/744</f>
        <v>4.0174731182795693E-2</v>
      </c>
      <c r="J23" s="36">
        <f>8.4/744</f>
        <v>1.1290322580645162E-2</v>
      </c>
      <c r="K23" s="37">
        <v>0</v>
      </c>
      <c r="L23" s="38">
        <f>H23+I23+J23</f>
        <v>0.44566505376344084</v>
      </c>
      <c r="M23" s="39">
        <f>0.181+0.192</f>
        <v>0.373</v>
      </c>
      <c r="N23" s="40">
        <f>0.181+0.192-L23</f>
        <v>-7.2665053763440846E-2</v>
      </c>
      <c r="O23" s="49" t="s">
        <v>37</v>
      </c>
      <c r="P23" s="46">
        <f t="shared" si="4"/>
        <v>3267.4800000000005</v>
      </c>
      <c r="Q23" s="54">
        <v>1.72</v>
      </c>
      <c r="R23" s="44">
        <f t="shared" si="5"/>
        <v>119.48124765775894</v>
      </c>
    </row>
    <row r="24" spans="1:18" ht="15.75" thickBot="1" x14ac:dyDescent="0.3">
      <c r="A24" s="55" t="s">
        <v>60</v>
      </c>
      <c r="B24" s="56" t="s">
        <v>61</v>
      </c>
      <c r="C24" s="57">
        <v>1.3481800000000002</v>
      </c>
      <c r="D24" s="57">
        <v>1.1180000000000001E-2</v>
      </c>
      <c r="E24" s="58">
        <v>0</v>
      </c>
      <c r="F24" s="58">
        <v>0</v>
      </c>
      <c r="G24" s="57">
        <v>5.466E-2</v>
      </c>
      <c r="H24" s="59">
        <f t="shared" si="0"/>
        <v>1.4140200000000001</v>
      </c>
      <c r="I24" s="60">
        <f>(73.3+88.2+6.34)/744+0.01</f>
        <v>0.23559139784946237</v>
      </c>
      <c r="J24" s="61">
        <f>22.51/744</f>
        <v>3.0255376344086024E-2</v>
      </c>
      <c r="K24" s="62">
        <v>0</v>
      </c>
      <c r="L24" s="63">
        <f>H24+I24+J24</f>
        <v>1.6798667741935485</v>
      </c>
      <c r="M24" s="64">
        <v>1.7629999999999999</v>
      </c>
      <c r="N24" s="65">
        <f t="shared" si="2"/>
        <v>8.3133225806451438E-2</v>
      </c>
      <c r="O24" s="66">
        <f>N24</f>
        <v>8.3133225806451438E-2</v>
      </c>
      <c r="P24" s="67">
        <f t="shared" si="4"/>
        <v>15443.880000000001</v>
      </c>
      <c r="Q24" s="68">
        <v>1.7629999999999999</v>
      </c>
      <c r="R24" s="30">
        <f t="shared" si="5"/>
        <v>95.284558944614218</v>
      </c>
    </row>
    <row r="25" spans="1:18" ht="15.75" thickBot="1" x14ac:dyDescent="0.3">
      <c r="A25" s="69" t="s">
        <v>18</v>
      </c>
      <c r="B25" s="70"/>
      <c r="C25" s="71">
        <f>SUM(C4:C24)</f>
        <v>73.95986000000002</v>
      </c>
      <c r="D25" s="71">
        <f t="shared" ref="D25:L25" si="6">SUM(D4:D24)</f>
        <v>1.03026</v>
      </c>
      <c r="E25" s="71">
        <f t="shared" si="6"/>
        <v>0.72450000000000003</v>
      </c>
      <c r="F25" s="71">
        <f t="shared" si="6"/>
        <v>0</v>
      </c>
      <c r="G25" s="71">
        <f t="shared" si="6"/>
        <v>4.8349600000000006</v>
      </c>
      <c r="H25" s="71">
        <f t="shared" si="6"/>
        <v>80.549580000000006</v>
      </c>
      <c r="I25" s="72">
        <f>SUM(I4:I24)</f>
        <v>8.4293145161290344</v>
      </c>
      <c r="J25" s="73">
        <f t="shared" si="6"/>
        <v>1.7012365591397849</v>
      </c>
      <c r="K25" s="73">
        <f t="shared" si="6"/>
        <v>0.23014499999999999</v>
      </c>
      <c r="L25" s="74">
        <f t="shared" si="6"/>
        <v>90.910276075268811</v>
      </c>
      <c r="M25" s="75">
        <f>SUM(M4:M24)</f>
        <v>111.88300000000004</v>
      </c>
      <c r="N25" s="75">
        <f>SUM(N4:N24)</f>
        <v>23.083623924731175</v>
      </c>
      <c r="O25" s="75">
        <f>SUM(O4:O24)</f>
        <v>17.831027473118272</v>
      </c>
      <c r="P25" s="76">
        <f>SUM(P4:P24)</f>
        <v>980095.08</v>
      </c>
      <c r="Q25" s="77">
        <f>SUM(Q4:Q24)</f>
        <v>146.34579999999997</v>
      </c>
      <c r="R25" s="78">
        <f t="shared" si="5"/>
        <v>81.254771569647559</v>
      </c>
    </row>
    <row r="26" spans="1:18" x14ac:dyDescent="0.25">
      <c r="A26" s="79" t="s">
        <v>62</v>
      </c>
      <c r="B26" s="80"/>
    </row>
    <row r="28" spans="1:18" x14ac:dyDescent="0.25">
      <c r="J28" s="81"/>
      <c r="L28" s="82"/>
      <c r="N28" s="82">
        <f>N6+N8</f>
        <v>0.42509537634408545</v>
      </c>
    </row>
  </sheetData>
  <mergeCells count="14">
    <mergeCell ref="O2:O3"/>
    <mergeCell ref="P2:P3"/>
    <mergeCell ref="Q2:Q3"/>
    <mergeCell ref="R2:R3"/>
    <mergeCell ref="A1:O1"/>
    <mergeCell ref="A2:A3"/>
    <mergeCell ref="B2:B3"/>
    <mergeCell ref="C2:H2"/>
    <mergeCell ref="I2:I3"/>
    <mergeCell ref="J2:J3"/>
    <mergeCell ref="K2:K3"/>
    <mergeCell ref="L2:L3"/>
    <mergeCell ref="M2:M3"/>
    <mergeCell ref="N2:N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Тепловаяя нагрузка 2018</vt:lpstr>
      <vt:lpstr>Тепловая нагрузка 2019</vt:lpstr>
      <vt:lpstr>Тепловая нагрузка 2020</vt:lpstr>
      <vt:lpstr>Тепловая нагрузка 2021</vt:lpstr>
      <vt:lpstr>Тепловая нагрузка 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2023-02-03T06:14:36Z</dcterms:modified>
</cp:coreProperties>
</file>